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2_3.bin" ContentType="application/vnd.openxmlformats-officedocument.oleObject"/>
  <Override PartName="/xl/embeddings/oleObject_2_4.bin" ContentType="application/vnd.openxmlformats-officedocument.oleObject"/>
  <Override PartName="/xl/embeddings/oleObject_2_5.bin" ContentType="application/vnd.openxmlformats-officedocument.oleObject"/>
  <Override PartName="/xl/embeddings/oleObject_2_6.bin" ContentType="application/vnd.openxmlformats-officedocument.oleObject"/>
  <Override PartName="/xl/embeddings/oleObject_2_7.bin" ContentType="application/vnd.openxmlformats-officedocument.oleObject"/>
  <Override PartName="/xl/embeddings/oleObject_2_8.bin" ContentType="application/vnd.openxmlformats-officedocument.oleObject"/>
  <Override PartName="/xl/embeddings/oleObject_2_9.bin" ContentType="application/vnd.openxmlformats-officedocument.oleObject"/>
  <Override PartName="/xl/embeddings/oleObject_2_10.bin" ContentType="application/vnd.openxmlformats-officedocument.oleObject"/>
  <Override PartName="/xl/embeddings/oleObject_2_11.bin" ContentType="application/vnd.openxmlformats-officedocument.oleObject"/>
  <Override PartName="/xl/embeddings/oleObject_2_12.bin" ContentType="application/vnd.openxmlformats-officedocument.oleObject"/>
  <Override PartName="/xl/embeddings/oleObject_2_13.bin" ContentType="application/vnd.openxmlformats-officedocument.oleObject"/>
  <Override PartName="/xl/embeddings/oleObject_2_14.bin" ContentType="application/vnd.openxmlformats-officedocument.oleObject"/>
  <Override PartName="/xl/embeddings/oleObject_2_15.bin" ContentType="application/vnd.openxmlformats-officedocument.oleObject"/>
  <Override PartName="/xl/embeddings/oleObject_2_16.bin" ContentType="application/vnd.openxmlformats-officedocument.oleObject"/>
  <Override PartName="/xl/embeddings/oleObject_2_17.bin" ContentType="application/vnd.openxmlformats-officedocument.oleObject"/>
  <Override PartName="/xl/embeddings/oleObject_2_18.bin" ContentType="application/vnd.openxmlformats-officedocument.oleObject"/>
  <Override PartName="/xl/embeddings/oleObject_2_19.bin" ContentType="application/vnd.openxmlformats-officedocument.oleObject"/>
  <Override PartName="/xl/embeddings/oleObject_2_20.bin" ContentType="application/vnd.openxmlformats-officedocument.oleObject"/>
  <Override PartName="/xl/embeddings/oleObject_2_21.bin" ContentType="application/vnd.openxmlformats-officedocument.oleObject"/>
  <Override PartName="/xl/embeddings/oleObject_2_22.bin" ContentType="application/vnd.openxmlformats-officedocument.oleObject"/>
  <Override PartName="/xl/embeddings/oleObject_2_23.bin" ContentType="application/vnd.openxmlformats-officedocument.oleObject"/>
  <Override PartName="/xl/embeddings/oleObject_2_24.bin" ContentType="application/vnd.openxmlformats-officedocument.oleObject"/>
  <Override PartName="/xl/embeddings/oleObject_2_25.bin" ContentType="application/vnd.openxmlformats-officedocument.oleObject"/>
  <Override PartName="/xl/embeddings/oleObject_2_26.bin" ContentType="application/vnd.openxmlformats-officedocument.oleObject"/>
  <Override PartName="/xl/embeddings/oleObject_2_27.bin" ContentType="application/vnd.openxmlformats-officedocument.oleObject"/>
  <Override PartName="/xl/embeddings/oleObject_2_28.bin" ContentType="application/vnd.openxmlformats-officedocument.oleObject"/>
  <Override PartName="/xl/embeddings/oleObject_2_29.bin" ContentType="application/vnd.openxmlformats-officedocument.oleObject"/>
  <Override PartName="/xl/embeddings/oleObject_2_30.bin" ContentType="application/vnd.openxmlformats-officedocument.oleObject"/>
  <Override PartName="/xl/embeddings/oleObject_2_31.bin" ContentType="application/vnd.openxmlformats-officedocument.oleObject"/>
  <Override PartName="/xl/embeddings/oleObject_2_32.bin" ContentType="application/vnd.openxmlformats-officedocument.oleObject"/>
  <Override PartName="/xl/embeddings/oleObject_2_33.bin" ContentType="application/vnd.openxmlformats-officedocument.oleObject"/>
  <Override PartName="/xl/embeddings/oleObject_2_34.bin" ContentType="application/vnd.openxmlformats-officedocument.oleObject"/>
  <Override PartName="/xl/embeddings/oleObject_2_35.bin" ContentType="application/vnd.openxmlformats-officedocument.oleObject"/>
  <Override PartName="/xl/embeddings/oleObject_2_36.bin" ContentType="application/vnd.openxmlformats-officedocument.oleObject"/>
  <Override PartName="/xl/embeddings/oleObject_2_37.bin" ContentType="application/vnd.openxmlformats-officedocument.oleObject"/>
  <Override PartName="/xl/embeddings/oleObject_2_38.bin" ContentType="application/vnd.openxmlformats-officedocument.oleObject"/>
  <Override PartName="/xl/embeddings/oleObject_2_39.bin" ContentType="application/vnd.openxmlformats-officedocument.oleObject"/>
  <Override PartName="/xl/embeddings/oleObject_2_40.bin" ContentType="application/vnd.openxmlformats-officedocument.oleObject"/>
  <Override PartName="/xl/embeddings/oleObject_2_41.bin" ContentType="application/vnd.openxmlformats-officedocument.oleObject"/>
  <Override PartName="/xl/embeddings/oleObject_2_42.bin" ContentType="application/vnd.openxmlformats-officedocument.oleObject"/>
  <Override PartName="/xl/embeddings/oleObject_2_4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9210" activeTab="0"/>
  </bookViews>
  <sheets>
    <sheet name="Введение" sheetId="1" r:id="rId1"/>
    <sheet name="Инструкции" sheetId="2" r:id="rId2"/>
    <sheet name="Тип І." sheetId="3" r:id="rId3"/>
    <sheet name="Тип І. Моменты" sheetId="4" r:id="rId4"/>
  </sheets>
  <externalReferences>
    <externalReference r:id="rId7"/>
  </externalReferences>
  <definedNames/>
  <calcPr fullCalcOnLoad="1"/>
</workbook>
</file>

<file path=xl/comments2.xml><?xml version="1.0" encoding="utf-8"?>
<comments xmlns="http://schemas.openxmlformats.org/spreadsheetml/2006/main">
  <authors>
    <author>Dr Miroslav Alexandrov YORDANOV</author>
  </authors>
  <commentList>
    <comment ref="C11" authorId="0">
      <text>
        <r>
          <rPr>
            <sz val="10"/>
            <rFont val="Tahoma"/>
            <family val="2"/>
          </rPr>
          <t>Отклонения каждого значения ряда распределения от среднего значения (в единицах разряда) или равные им разности 
 (х' — m</t>
        </r>
        <r>
          <rPr>
            <vertAlign val="subscript"/>
            <sz val="10"/>
            <rFont val="Tahoma"/>
            <family val="2"/>
          </rPr>
          <t>1</t>
        </r>
        <r>
          <rPr>
            <sz val="10"/>
            <rFont val="Tahoma"/>
            <family val="2"/>
          </rPr>
          <t xml:space="preserve">), с. 239, [см. также (2.50), с. 79]. </t>
        </r>
        <r>
          <rPr>
            <b/>
            <sz val="10"/>
            <rFont val="Tahoma"/>
            <family val="2"/>
          </rPr>
          <t>Митропольский, А. 1971.</t>
        </r>
        <r>
          <rPr>
            <sz val="10"/>
            <rFont val="Tahoma"/>
            <family val="2"/>
          </rPr>
          <t xml:space="preserve"> </t>
        </r>
        <r>
          <rPr>
            <i/>
            <sz val="10"/>
            <rFont val="Tahoma"/>
            <family val="2"/>
          </rPr>
          <t>Техника статистических вычислений</t>
        </r>
        <r>
          <rPr>
            <sz val="10"/>
            <rFont val="Tahoma"/>
            <family val="2"/>
          </rPr>
          <t>. Наука, Москва, 576 с. 2е-изд.</t>
        </r>
      </text>
    </comment>
  </commentList>
</comments>
</file>

<file path=xl/comments3.xml><?xml version="1.0" encoding="utf-8"?>
<comments xmlns="http://schemas.openxmlformats.org/spreadsheetml/2006/main">
  <authors>
    <author>Dr Miroslav Alexandrov YORDANOV</author>
  </authors>
  <commentList>
    <comment ref="C3" authorId="0">
      <text>
        <r>
          <rPr>
            <sz val="10"/>
            <rFont val="Tahoma"/>
            <family val="2"/>
          </rPr>
          <t>Отклонения каждого значения ряда распределения от среднего значения (в единицах разряда) или равные им разности 
 (х' — m</t>
        </r>
        <r>
          <rPr>
            <vertAlign val="subscript"/>
            <sz val="10"/>
            <rFont val="Tahoma"/>
            <family val="2"/>
          </rPr>
          <t>1</t>
        </r>
        <r>
          <rPr>
            <sz val="10"/>
            <rFont val="Tahoma"/>
            <family val="2"/>
          </rPr>
          <t xml:space="preserve">), с. 239, [см. также (2.50), с. 79]. </t>
        </r>
        <r>
          <rPr>
            <b/>
            <sz val="10"/>
            <rFont val="Tahoma"/>
            <family val="2"/>
          </rPr>
          <t>Митропольский, А. 1971.</t>
        </r>
        <r>
          <rPr>
            <sz val="10"/>
            <rFont val="Tahoma"/>
            <family val="2"/>
          </rPr>
          <t xml:space="preserve"> </t>
        </r>
        <r>
          <rPr>
            <i/>
            <sz val="10"/>
            <rFont val="Tahoma"/>
            <family val="2"/>
          </rPr>
          <t>Техника статистических вычислений</t>
        </r>
        <r>
          <rPr>
            <sz val="10"/>
            <rFont val="Tahoma"/>
            <family val="2"/>
          </rPr>
          <t>. Наука, Москва, 576 с. 2е-изд.</t>
        </r>
      </text>
    </comment>
    <comment ref="G4" authorId="0">
      <text>
        <r>
          <rPr>
            <sz val="10"/>
            <rFont val="Tahoma"/>
            <family val="2"/>
          </rPr>
          <t xml:space="preserve">Именованное основное отклонение - </t>
        </r>
        <r>
          <rPr>
            <i/>
            <sz val="10"/>
            <rFont val="Symbol"/>
            <family val="1"/>
          </rPr>
          <t>s
s</t>
        </r>
        <r>
          <rPr>
            <i/>
            <sz val="10"/>
            <rFont val="Tahoma"/>
            <family val="2"/>
          </rPr>
          <t>=c.</t>
        </r>
        <r>
          <rPr>
            <i/>
            <sz val="10"/>
            <rFont val="Symbol"/>
            <family val="1"/>
          </rPr>
          <t>s</t>
        </r>
        <r>
          <rPr>
            <sz val="10"/>
            <rFont val="Tahoma"/>
            <family val="2"/>
          </rPr>
          <t xml:space="preserve">
</t>
        </r>
        <r>
          <rPr>
            <b/>
            <sz val="10"/>
            <rFont val="Tahoma"/>
            <family val="2"/>
          </rPr>
          <t>Митропольский, А. 1971.</t>
        </r>
        <r>
          <rPr>
            <sz val="10"/>
            <rFont val="Tahoma"/>
            <family val="2"/>
          </rPr>
          <t xml:space="preserve"> </t>
        </r>
        <r>
          <rPr>
            <i/>
            <sz val="10"/>
            <rFont val="Tahoma"/>
            <family val="2"/>
          </rPr>
          <t>Техника статистических вычислений</t>
        </r>
        <r>
          <rPr>
            <sz val="10"/>
            <rFont val="Tahoma"/>
            <family val="2"/>
          </rPr>
          <t xml:space="preserve">. Наука, Москва, 576 с. 2е-изд. с. 81
Именованное значение среднеквадратического отклонения - </t>
        </r>
        <r>
          <rPr>
            <i/>
            <sz val="10"/>
            <rFont val="Tahoma"/>
            <family val="2"/>
          </rPr>
          <t>s
s=c.</t>
        </r>
        <r>
          <rPr>
            <i/>
            <sz val="10"/>
            <rFont val="Symbol"/>
            <family val="1"/>
          </rPr>
          <t xml:space="preserve">s
</t>
        </r>
        <r>
          <rPr>
            <b/>
            <sz val="10"/>
            <rFont val="Tahoma"/>
            <family val="2"/>
          </rPr>
          <t>Кобзарь, А. 2006.</t>
        </r>
        <r>
          <rPr>
            <sz val="10"/>
            <rFont val="Tahoma"/>
            <family val="2"/>
          </rPr>
          <t xml:space="preserve"> </t>
        </r>
        <r>
          <rPr>
            <i/>
            <sz val="10"/>
            <rFont val="Tahoma"/>
            <family val="2"/>
          </rPr>
          <t>Прикладная математическая статистика</t>
        </r>
        <r>
          <rPr>
            <sz val="10"/>
            <rFont val="Tahoma"/>
            <family val="2"/>
          </rPr>
          <t xml:space="preserve">. ФИЗМАТЛИТ, Москва, 861 с. с. 373
</t>
        </r>
        <r>
          <rPr>
            <b/>
            <sz val="10"/>
            <rFont val="Tahoma"/>
            <family val="2"/>
          </rPr>
          <t/>
        </r>
      </text>
    </comment>
    <comment ref="I4" authorId="0">
      <text>
        <r>
          <rPr>
            <sz val="10"/>
            <rFont val="Tahoma"/>
            <family val="2"/>
          </rPr>
          <t>См. "Квантили Пирсона" - 95%-й квантиль нормированного распределения</t>
        </r>
        <r>
          <rPr>
            <b/>
            <sz val="10"/>
            <rFont val="Tahoma"/>
            <family val="2"/>
          </rPr>
          <t xml:space="preserve"> </t>
        </r>
        <r>
          <rPr>
            <sz val="10"/>
            <rFont val="Tahoma"/>
            <family val="2"/>
          </rPr>
          <t xml:space="preserve">Пирсона, Таблица 117, с. 370-372
</t>
        </r>
        <r>
          <rPr>
            <b/>
            <sz val="10"/>
            <rFont val="Tahoma"/>
            <family val="2"/>
          </rPr>
          <t>Кобзарь, А. 2006.</t>
        </r>
        <r>
          <rPr>
            <sz val="10"/>
            <rFont val="Tahoma"/>
            <family val="2"/>
          </rPr>
          <t xml:space="preserve"> </t>
        </r>
        <r>
          <rPr>
            <i/>
            <sz val="10"/>
            <rFont val="Tahoma"/>
            <family val="2"/>
          </rPr>
          <t>Прикладная математическая статистика</t>
        </r>
        <r>
          <rPr>
            <sz val="10"/>
            <rFont val="Tahoma"/>
            <family val="2"/>
          </rPr>
          <t>. ФИЗМАТЛИТ, Москва, 861 с.</t>
        </r>
      </text>
    </comment>
    <comment ref="K4" authorId="0">
      <text>
        <r>
          <rPr>
            <sz val="10"/>
            <rFont val="Tahoma"/>
            <family val="2"/>
          </rPr>
          <t xml:space="preserve">Вероятность того, что x&lt;= значения в клетки </t>
        </r>
        <r>
          <rPr>
            <b/>
            <i/>
            <sz val="10"/>
            <rFont val="Tahoma"/>
            <family val="2"/>
          </rPr>
          <t xml:space="preserve">L4 </t>
        </r>
        <r>
          <rPr>
            <sz val="10"/>
            <rFont val="Tahoma"/>
            <family val="2"/>
          </rPr>
          <t xml:space="preserve">равна 0,95
</t>
        </r>
        <r>
          <rPr>
            <b/>
            <sz val="10"/>
            <rFont val="Tahoma"/>
            <family val="2"/>
          </rPr>
          <t xml:space="preserve">Кобзарь, А. 2006. </t>
        </r>
        <r>
          <rPr>
            <i/>
            <sz val="10"/>
            <rFont val="Tahoma"/>
            <family val="2"/>
          </rPr>
          <t>Прикладная математическая статистика</t>
        </r>
        <r>
          <rPr>
            <sz val="10"/>
            <rFont val="Tahoma"/>
            <family val="2"/>
          </rPr>
          <t>. ФИЗМАТЛИТ, Москва, 861 с.</t>
        </r>
      </text>
    </comment>
    <comment ref="G12" authorId="0">
      <text>
        <r>
          <rPr>
            <sz val="10"/>
            <rFont val="Tahoma"/>
            <family val="2"/>
          </rPr>
          <t xml:space="preserve">Величина разряда </t>
        </r>
        <r>
          <rPr>
            <i/>
            <sz val="10"/>
            <rFont val="Tahoma"/>
            <family val="2"/>
          </rPr>
          <t>c.</t>
        </r>
        <r>
          <rPr>
            <sz val="10"/>
            <rFont val="Tahoma"/>
            <family val="2"/>
          </rPr>
          <t xml:space="preserve"> Вж. (1.3), с. 20. </t>
        </r>
        <r>
          <rPr>
            <b/>
            <sz val="10"/>
            <rFont val="Tahoma"/>
            <family val="2"/>
          </rPr>
          <t>Митропольский, А. 1971.</t>
        </r>
        <r>
          <rPr>
            <sz val="10"/>
            <rFont val="Tahoma"/>
            <family val="2"/>
          </rPr>
          <t xml:space="preserve"> </t>
        </r>
        <r>
          <rPr>
            <i/>
            <sz val="10"/>
            <rFont val="Tahoma"/>
            <family val="2"/>
          </rPr>
          <t>Техника статистических вычислений</t>
        </r>
        <r>
          <rPr>
            <sz val="10"/>
            <rFont val="Tahoma"/>
            <family val="2"/>
          </rPr>
          <t>. Наука, Москва, 576 с. 2е-изд.</t>
        </r>
      </text>
    </comment>
    <comment ref="T27" authorId="0">
      <text>
        <r>
          <rPr>
            <i/>
            <sz val="9"/>
            <rFont val="Tahoma"/>
            <family val="2"/>
          </rPr>
          <t>X</t>
        </r>
        <r>
          <rPr>
            <sz val="9"/>
            <rFont val="Tahoma"/>
            <family val="2"/>
          </rPr>
          <t xml:space="preserve"> - наиболее частое (модальное) значение</t>
        </r>
      </text>
    </comment>
    <comment ref="T31" authorId="0">
      <text>
        <r>
          <rPr>
            <sz val="8"/>
            <rFont val="Tahoma"/>
            <family val="2"/>
          </rPr>
          <t>Мера скошенности, стр. 127</t>
        </r>
      </text>
    </comment>
  </commentList>
</comments>
</file>

<file path=xl/comments4.xml><?xml version="1.0" encoding="utf-8"?>
<comments xmlns="http://schemas.openxmlformats.org/spreadsheetml/2006/main">
  <authors>
    <author>Dr Miroslav Alexandrov YORDANOV</author>
  </authors>
  <commentList>
    <comment ref="C2" authorId="0">
      <text>
        <r>
          <rPr>
            <sz val="10"/>
            <rFont val="Tahoma"/>
            <family val="2"/>
          </rPr>
          <t xml:space="preserve">Начальное значение </t>
        </r>
        <r>
          <rPr>
            <i/>
            <sz val="10"/>
            <rFont val="Tahoma"/>
            <family val="2"/>
          </rPr>
          <t>X(a)</t>
        </r>
        <r>
          <rPr>
            <sz val="10"/>
            <rFont val="Tahoma"/>
            <family val="2"/>
          </rPr>
          <t>. Вж. (1.9), с. 28.</t>
        </r>
        <r>
          <rPr>
            <b/>
            <sz val="10"/>
            <rFont val="Tahoma"/>
            <family val="2"/>
          </rPr>
          <t xml:space="preserve"> Митропольский, А. 1971.</t>
        </r>
        <r>
          <rPr>
            <sz val="10"/>
            <rFont val="Tahoma"/>
            <family val="2"/>
          </rPr>
          <t xml:space="preserve"> </t>
        </r>
        <r>
          <rPr>
            <i/>
            <sz val="10"/>
            <rFont val="Tahoma"/>
            <family val="2"/>
          </rPr>
          <t>Техника статистических вычислений</t>
        </r>
        <r>
          <rPr>
            <sz val="10"/>
            <rFont val="Tahoma"/>
            <family val="2"/>
          </rPr>
          <t>. Наука, Москва, 576 с. 2е-изд.</t>
        </r>
      </text>
    </comment>
    <comment ref="D3" authorId="0">
      <text>
        <r>
          <rPr>
            <sz val="8"/>
            <rFont val="Tahoma"/>
            <family val="2"/>
          </rPr>
          <t xml:space="preserve">Введите в эту клетку </t>
        </r>
        <r>
          <rPr>
            <b/>
            <sz val="8"/>
            <rFont val="Tahoma"/>
            <family val="2"/>
          </rPr>
          <t>0</t>
        </r>
        <r>
          <rPr>
            <sz val="8"/>
            <rFont val="Tahoma"/>
            <family val="2"/>
          </rPr>
          <t xml:space="preserve"> если ряд распределений симметричный и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если этот ряд распределений несимметричный!</t>
        </r>
      </text>
    </comment>
    <comment ref="E4" authorId="0">
      <text>
        <r>
          <rPr>
            <sz val="10"/>
            <rFont val="Tahoma"/>
            <family val="2"/>
          </rPr>
          <t xml:space="preserve">Начальные моменты </t>
        </r>
        <r>
          <rPr>
            <i/>
            <sz val="10"/>
            <rFont val="Tahoma"/>
            <family val="2"/>
          </rPr>
          <t>m</t>
        </r>
        <r>
          <rPr>
            <i/>
            <vertAlign val="subscript"/>
            <sz val="10"/>
            <rFont val="Tahoma"/>
            <family val="2"/>
          </rPr>
          <t>1</t>
        </r>
        <r>
          <rPr>
            <sz val="10"/>
            <rFont val="Tahoma"/>
            <family val="2"/>
          </rPr>
          <t xml:space="preserve">, </t>
        </r>
        <r>
          <rPr>
            <i/>
            <sz val="10"/>
            <rFont val="Tahoma"/>
            <family val="2"/>
          </rPr>
          <t>m</t>
        </r>
        <r>
          <rPr>
            <i/>
            <vertAlign val="subscript"/>
            <sz val="10"/>
            <rFont val="Tahoma"/>
            <family val="2"/>
          </rPr>
          <t>2</t>
        </r>
        <r>
          <rPr>
            <sz val="10"/>
            <rFont val="Tahoma"/>
            <family val="2"/>
          </rPr>
          <t xml:space="preserve">, </t>
        </r>
        <r>
          <rPr>
            <i/>
            <sz val="10"/>
            <rFont val="Tahoma"/>
            <family val="2"/>
          </rPr>
          <t>m</t>
        </r>
        <r>
          <rPr>
            <i/>
            <vertAlign val="subscript"/>
            <sz val="10"/>
            <rFont val="Tahoma"/>
            <family val="2"/>
          </rPr>
          <t>3</t>
        </r>
        <r>
          <rPr>
            <sz val="10"/>
            <rFont val="Tahoma"/>
            <family val="2"/>
          </rPr>
          <t xml:space="preserve">, </t>
        </r>
        <r>
          <rPr>
            <i/>
            <sz val="10"/>
            <rFont val="Tahoma"/>
            <family val="2"/>
          </rPr>
          <t>m</t>
        </r>
        <r>
          <rPr>
            <i/>
            <vertAlign val="subscript"/>
            <sz val="10"/>
            <rFont val="Tahoma"/>
            <family val="2"/>
          </rPr>
          <t>4</t>
        </r>
      </text>
    </comment>
    <comment ref="F6" authorId="0">
      <text>
        <r>
          <rPr>
            <sz val="10"/>
            <rFont val="Tahoma"/>
            <family val="2"/>
          </rPr>
          <t xml:space="preserve">Центральные моменты </t>
        </r>
        <r>
          <rPr>
            <sz val="10"/>
            <rFont val="Symbol"/>
            <family val="1"/>
          </rPr>
          <t>m</t>
        </r>
        <r>
          <rPr>
            <vertAlign val="subscript"/>
            <sz val="10"/>
            <rFont val="Tahoma"/>
            <family val="2"/>
          </rPr>
          <t>1</t>
        </r>
        <r>
          <rPr>
            <sz val="10"/>
            <rFont val="Tahoma"/>
            <family val="2"/>
          </rPr>
          <t xml:space="preserve">, </t>
        </r>
        <r>
          <rPr>
            <sz val="10"/>
            <rFont val="Symbol"/>
            <family val="1"/>
          </rPr>
          <t>m</t>
        </r>
        <r>
          <rPr>
            <vertAlign val="subscript"/>
            <sz val="10"/>
            <rFont val="Tahoma"/>
            <family val="2"/>
          </rPr>
          <t>2</t>
        </r>
        <r>
          <rPr>
            <sz val="10"/>
            <rFont val="Tahoma"/>
            <family val="2"/>
          </rPr>
          <t xml:space="preserve">, </t>
        </r>
        <r>
          <rPr>
            <sz val="10"/>
            <rFont val="Symbol"/>
            <family val="1"/>
          </rPr>
          <t>m</t>
        </r>
        <r>
          <rPr>
            <vertAlign val="subscript"/>
            <sz val="10"/>
            <rFont val="Tahoma"/>
            <family val="2"/>
          </rPr>
          <t>3</t>
        </r>
        <r>
          <rPr>
            <sz val="10"/>
            <rFont val="Tahoma"/>
            <family val="2"/>
          </rPr>
          <t xml:space="preserve">, </t>
        </r>
        <r>
          <rPr>
            <sz val="10"/>
            <rFont val="Symbol"/>
            <family val="1"/>
          </rPr>
          <t>m</t>
        </r>
        <r>
          <rPr>
            <vertAlign val="subscript"/>
            <sz val="10"/>
            <rFont val="Tahoma"/>
            <family val="2"/>
          </rPr>
          <t>4</t>
        </r>
      </text>
    </comment>
  </commentList>
</comments>
</file>

<file path=xl/sharedStrings.xml><?xml version="1.0" encoding="utf-8"?>
<sst xmlns="http://schemas.openxmlformats.org/spreadsheetml/2006/main" count="149" uniqueCount="104">
  <si>
    <t>S</t>
  </si>
  <si>
    <t>(1)</t>
  </si>
  <si>
    <t>(2)</t>
  </si>
  <si>
    <t>(3)</t>
  </si>
  <si>
    <t>(4)</t>
  </si>
  <si>
    <t>Выравнивающие частоты,</t>
  </si>
  <si>
    <t>=</t>
  </si>
  <si>
    <t>c     =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</si>
  <si>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</si>
  <si>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</si>
  <si>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</si>
  <si>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</si>
  <si>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</si>
  <si>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</si>
  <si>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</si>
  <si>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</si>
  <si>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</si>
  <si>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</si>
  <si>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</si>
  <si>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</si>
  <si>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</si>
  <si>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</si>
  <si>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Таблица 3.1 Ряд разпределения возраста научных работников в СССР, в ‰ (1928 г), с. 109</t>
  </si>
  <si>
    <t>Отклонение от наиболее частого значения,</t>
  </si>
  <si>
    <t xml:space="preserve">Определение </t>
  </si>
  <si>
    <t>№</t>
  </si>
  <si>
    <t>Определение моментов</t>
  </si>
  <si>
    <t>Симметричный</t>
  </si>
  <si>
    <t>Несимметричный</t>
  </si>
  <si>
    <t>Ряд распределения</t>
  </si>
  <si>
    <t>Type I.</t>
  </si>
  <si>
    <t>Type II.</t>
  </si>
  <si>
    <t>Type III.</t>
  </si>
  <si>
    <t>Type IV.</t>
  </si>
  <si>
    <t>Type V.</t>
  </si>
  <si>
    <t>Type VI.</t>
  </si>
  <si>
    <t>Type VII.</t>
  </si>
  <si>
    <t>Unlimited range; may be skewed or bell-shaped</t>
  </si>
  <si>
    <t>Remarks</t>
  </si>
  <si>
    <t>Type</t>
  </si>
  <si>
    <t>Unlimited range in one direction; bell-shaped</t>
  </si>
  <si>
    <t>Unlimited range; symmetrical; bell-shaped</t>
  </si>
  <si>
    <t>Criterion</t>
  </si>
  <si>
    <t>Inverce Gamma</t>
  </si>
  <si>
    <t>Common Name</t>
  </si>
  <si>
    <t>Beta</t>
  </si>
  <si>
    <t>Student t</t>
  </si>
  <si>
    <t>Inverse Beta</t>
  </si>
  <si>
    <t>Gamma</t>
  </si>
  <si>
    <t>Определение выравнивающей частоты для первого разряда</t>
  </si>
  <si>
    <t>Определение начало кривой</t>
  </si>
  <si>
    <t>-</t>
  </si>
  <si>
    <t>Определение длины первого разряда</t>
  </si>
  <si>
    <t>Определение длины первого разряда в рабочих единицах</t>
  </si>
  <si>
    <t>Границы первого разряда</t>
  </si>
  <si>
    <t>нижняя</t>
  </si>
  <si>
    <t>верхняя</t>
  </si>
  <si>
    <t>s =</t>
  </si>
  <si>
    <t>Квантили</t>
  </si>
  <si>
    <t>p =</t>
  </si>
  <si>
    <t>Контрольный пример</t>
  </si>
  <si>
    <t>Пример: Таблица. Ряд распределения скорости ветра в Московской области (в м/сек) в процентах (п = 40 000). *). *Н. С. С т р е л е ц к и й, 1940, стр. 28 (VII, 106).</t>
  </si>
  <si>
    <t>* Ширина классов* и вычисленные частоты подсчитаны в странице "Гистограма"</t>
  </si>
  <si>
    <t>Round</t>
  </si>
  <si>
    <r>
      <t xml:space="preserve">Тип І. Частный случай Бета </t>
    </r>
    <r>
      <rPr>
        <b/>
        <i/>
        <sz val="11"/>
        <rFont val="Symbol"/>
        <family val="1"/>
      </rPr>
      <t>b</t>
    </r>
    <r>
      <rPr>
        <b/>
        <sz val="11"/>
        <rFont val="Arial"/>
        <family val="2"/>
      </rPr>
      <t>-распределение І-го рода</t>
    </r>
  </si>
  <si>
    <r>
      <t>Значе-ния, X</t>
    </r>
    <r>
      <rPr>
        <i/>
        <vertAlign val="subscript"/>
        <sz val="10"/>
        <rFont val="Arial"/>
        <family val="2"/>
      </rPr>
      <t>j</t>
    </r>
  </si>
  <si>
    <r>
      <t xml:space="preserve">Частота, </t>
    </r>
    <r>
      <rPr>
        <i/>
        <sz val="10"/>
        <rFont val="Arial"/>
        <family val="2"/>
      </rPr>
      <t>n</t>
    </r>
    <r>
      <rPr>
        <i/>
        <vertAlign val="subscript"/>
        <sz val="10"/>
        <rFont val="Arial"/>
        <family val="2"/>
      </rPr>
      <t>j</t>
    </r>
  </si>
  <si>
    <r>
      <t>q</t>
    </r>
    <r>
      <rPr>
        <i/>
        <vertAlign val="subscript"/>
        <sz val="10"/>
        <rFont val="Arial"/>
        <family val="2"/>
      </rPr>
      <t>1=</t>
    </r>
  </si>
  <si>
    <r>
      <t>q</t>
    </r>
    <r>
      <rPr>
        <i/>
        <vertAlign val="subscript"/>
        <sz val="10"/>
        <rFont val="Arial"/>
        <family val="2"/>
      </rPr>
      <t>2=</t>
    </r>
  </si>
  <si>
    <r>
      <t>x</t>
    </r>
    <r>
      <rPr>
        <i/>
        <vertAlign val="subscript"/>
        <sz val="10"/>
        <rFont val="Arial"/>
        <family val="2"/>
      </rPr>
      <t>1</t>
    </r>
  </si>
  <si>
    <r>
      <t>Определение ординаты начала, сeредины и конца основания первого разряда (</t>
    </r>
    <r>
      <rPr>
        <i/>
        <sz val="10"/>
        <rFont val="Arial"/>
        <family val="2"/>
      </rPr>
      <t>y</t>
    </r>
    <r>
      <rPr>
        <i/>
        <vertAlign val="subscript"/>
        <sz val="10"/>
        <rFont val="Arial"/>
        <family val="2"/>
      </rPr>
      <t>0</t>
    </r>
    <r>
      <rPr>
        <sz val="10"/>
        <rFont val="Arial"/>
        <family val="0"/>
      </rPr>
      <t xml:space="preserve">, </t>
    </r>
    <r>
      <rPr>
        <i/>
        <sz val="10"/>
        <rFont val="Arial"/>
        <family val="2"/>
      </rPr>
      <t>y</t>
    </r>
    <r>
      <rPr>
        <i/>
        <vertAlign val="subscript"/>
        <sz val="10"/>
        <rFont val="Arial"/>
        <family val="2"/>
      </rPr>
      <t>1/2</t>
    </r>
    <r>
      <rPr>
        <sz val="10"/>
        <rFont val="Arial"/>
        <family val="0"/>
      </rPr>
      <t xml:space="preserve">, </t>
    </r>
    <r>
      <rPr>
        <i/>
        <sz val="10"/>
        <rFont val="Arial"/>
        <family val="2"/>
      </rPr>
      <t>y</t>
    </r>
    <r>
      <rPr>
        <i/>
        <vertAlign val="subscript"/>
        <sz val="10"/>
        <rFont val="Arial"/>
        <family val="2"/>
      </rPr>
      <t>1</t>
    </r>
    <r>
      <rPr>
        <sz val="10"/>
        <rFont val="Arial"/>
        <family val="0"/>
      </rPr>
      <t>)</t>
    </r>
  </si>
  <si>
    <r>
      <t>y</t>
    </r>
    <r>
      <rPr>
        <i/>
        <vertAlign val="subscript"/>
        <sz val="10"/>
        <rFont val="Arial"/>
        <family val="2"/>
      </rPr>
      <t>0</t>
    </r>
  </si>
  <si>
    <r>
      <t>x'</t>
    </r>
    <r>
      <rPr>
        <i/>
        <vertAlign val="subscript"/>
        <sz val="10"/>
        <rFont val="Arial"/>
        <family val="2"/>
      </rPr>
      <t>1/2 =</t>
    </r>
  </si>
  <si>
    <r>
      <t>x'</t>
    </r>
    <r>
      <rPr>
        <i/>
        <vertAlign val="subscript"/>
        <sz val="9"/>
        <rFont val="Arial"/>
        <family val="2"/>
      </rPr>
      <t>1/2</t>
    </r>
    <r>
      <rPr>
        <i/>
        <sz val="9"/>
        <rFont val="Arial"/>
        <family val="2"/>
      </rPr>
      <t>/l</t>
    </r>
    <r>
      <rPr>
        <i/>
        <vertAlign val="subscript"/>
        <sz val="9"/>
        <rFont val="Arial"/>
        <family val="2"/>
      </rPr>
      <t>1</t>
    </r>
    <r>
      <rPr>
        <i/>
        <sz val="9"/>
        <rFont val="Arial"/>
        <family val="2"/>
      </rPr>
      <t>=</t>
    </r>
  </si>
  <si>
    <r>
      <t>1+x'</t>
    </r>
    <r>
      <rPr>
        <i/>
        <vertAlign val="subscript"/>
        <sz val="9"/>
        <rFont val="Arial"/>
        <family val="2"/>
      </rPr>
      <t>1/2</t>
    </r>
    <r>
      <rPr>
        <i/>
        <sz val="9"/>
        <rFont val="Arial"/>
        <family val="2"/>
      </rPr>
      <t>/l</t>
    </r>
    <r>
      <rPr>
        <i/>
        <vertAlign val="subscript"/>
        <sz val="9"/>
        <rFont val="Arial"/>
        <family val="2"/>
      </rPr>
      <t>1</t>
    </r>
    <r>
      <rPr>
        <i/>
        <sz val="9"/>
        <rFont val="Arial"/>
        <family val="2"/>
      </rPr>
      <t>=</t>
    </r>
  </si>
  <si>
    <r>
      <t>y</t>
    </r>
    <r>
      <rPr>
        <i/>
        <vertAlign val="subscript"/>
        <sz val="10"/>
        <rFont val="Arial"/>
        <family val="2"/>
      </rPr>
      <t>1/2</t>
    </r>
  </si>
  <si>
    <r>
      <t>x'</t>
    </r>
    <r>
      <rPr>
        <i/>
        <vertAlign val="subscript"/>
        <sz val="9"/>
        <rFont val="Arial"/>
        <family val="2"/>
      </rPr>
      <t>1/2</t>
    </r>
    <r>
      <rPr>
        <i/>
        <sz val="9"/>
        <rFont val="Arial"/>
        <family val="2"/>
      </rPr>
      <t>/l</t>
    </r>
    <r>
      <rPr>
        <i/>
        <vertAlign val="subscript"/>
        <sz val="9"/>
        <rFont val="Arial"/>
        <family val="2"/>
      </rPr>
      <t>2</t>
    </r>
    <r>
      <rPr>
        <i/>
        <sz val="9"/>
        <rFont val="Arial"/>
        <family val="2"/>
      </rPr>
      <t>=</t>
    </r>
  </si>
  <si>
    <r>
      <t>1-x'</t>
    </r>
    <r>
      <rPr>
        <i/>
        <vertAlign val="subscript"/>
        <sz val="9"/>
        <rFont val="Arial"/>
        <family val="2"/>
      </rPr>
      <t>1/2</t>
    </r>
    <r>
      <rPr>
        <i/>
        <sz val="9"/>
        <rFont val="Arial"/>
        <family val="2"/>
      </rPr>
      <t>/l</t>
    </r>
    <r>
      <rPr>
        <i/>
        <vertAlign val="subscript"/>
        <sz val="9"/>
        <rFont val="Arial"/>
        <family val="2"/>
      </rPr>
      <t>2</t>
    </r>
    <r>
      <rPr>
        <i/>
        <sz val="9"/>
        <rFont val="Arial"/>
        <family val="2"/>
      </rPr>
      <t>=</t>
    </r>
  </si>
  <si>
    <r>
      <t>x'</t>
    </r>
    <r>
      <rPr>
        <i/>
        <vertAlign val="subscript"/>
        <sz val="9"/>
        <rFont val="Arial"/>
        <family val="2"/>
      </rPr>
      <t>1</t>
    </r>
    <r>
      <rPr>
        <i/>
        <sz val="9"/>
        <rFont val="Arial"/>
        <family val="2"/>
      </rPr>
      <t>/l</t>
    </r>
    <r>
      <rPr>
        <i/>
        <vertAlign val="subscript"/>
        <sz val="9"/>
        <rFont val="Arial"/>
        <family val="2"/>
      </rPr>
      <t>1</t>
    </r>
    <r>
      <rPr>
        <i/>
        <sz val="9"/>
        <rFont val="Arial"/>
        <family val="2"/>
      </rPr>
      <t>=</t>
    </r>
  </si>
  <si>
    <r>
      <t>1+x'</t>
    </r>
    <r>
      <rPr>
        <i/>
        <vertAlign val="subscript"/>
        <sz val="9"/>
        <rFont val="Arial"/>
        <family val="2"/>
      </rPr>
      <t>1</t>
    </r>
    <r>
      <rPr>
        <i/>
        <sz val="9"/>
        <rFont val="Arial"/>
        <family val="2"/>
      </rPr>
      <t>/l</t>
    </r>
    <r>
      <rPr>
        <i/>
        <vertAlign val="subscript"/>
        <sz val="9"/>
        <rFont val="Arial"/>
        <family val="2"/>
      </rPr>
      <t>1</t>
    </r>
    <r>
      <rPr>
        <i/>
        <sz val="9"/>
        <rFont val="Arial"/>
        <family val="2"/>
      </rPr>
      <t>=</t>
    </r>
  </si>
  <si>
    <r>
      <t>y</t>
    </r>
    <r>
      <rPr>
        <i/>
        <vertAlign val="subscript"/>
        <sz val="10"/>
        <rFont val="Arial"/>
        <family val="2"/>
      </rPr>
      <t>1</t>
    </r>
  </si>
  <si>
    <r>
      <t>x'</t>
    </r>
    <r>
      <rPr>
        <i/>
        <vertAlign val="subscript"/>
        <sz val="9"/>
        <rFont val="Arial"/>
        <family val="2"/>
      </rPr>
      <t>1</t>
    </r>
    <r>
      <rPr>
        <i/>
        <sz val="9"/>
        <rFont val="Arial"/>
        <family val="2"/>
      </rPr>
      <t>/l</t>
    </r>
    <r>
      <rPr>
        <i/>
        <vertAlign val="subscript"/>
        <sz val="9"/>
        <rFont val="Arial"/>
        <family val="2"/>
      </rPr>
      <t>2</t>
    </r>
    <r>
      <rPr>
        <i/>
        <sz val="9"/>
        <rFont val="Arial"/>
        <family val="2"/>
      </rPr>
      <t>=</t>
    </r>
  </si>
  <si>
    <r>
      <t>1-x'</t>
    </r>
    <r>
      <rPr>
        <i/>
        <vertAlign val="subscript"/>
        <sz val="9"/>
        <rFont val="Arial"/>
        <family val="2"/>
      </rPr>
      <t>1</t>
    </r>
    <r>
      <rPr>
        <i/>
        <sz val="9"/>
        <rFont val="Arial"/>
        <family val="2"/>
      </rPr>
      <t>/l</t>
    </r>
    <r>
      <rPr>
        <i/>
        <vertAlign val="subscript"/>
        <sz val="9"/>
        <rFont val="Arial"/>
        <family val="2"/>
      </rPr>
      <t>2</t>
    </r>
    <r>
      <rPr>
        <i/>
        <sz val="9"/>
        <rFont val="Arial"/>
        <family val="2"/>
      </rPr>
      <t>=</t>
    </r>
  </si>
  <si>
    <r>
      <t>Внимание! Для ввода данных доступны только клетки где цвет шрифта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12"/>
        <rFont val="Arial"/>
        <family val="2"/>
      </rPr>
      <t xml:space="preserve">синий, а фон </t>
    </r>
    <r>
      <rPr>
        <b/>
        <sz val="10"/>
        <color indexed="15"/>
        <rFont val="Arial"/>
        <family val="2"/>
      </rPr>
      <t>светло бирюзовый</t>
    </r>
    <r>
      <rPr>
        <b/>
        <sz val="10"/>
        <color indexed="10"/>
        <rFont val="Arial"/>
        <family val="2"/>
      </rPr>
      <t xml:space="preserve">. </t>
    </r>
    <r>
      <rPr>
        <b/>
        <sz val="10"/>
        <color indexed="8"/>
        <rFont val="Arial"/>
        <family val="2"/>
      </rPr>
      <t xml:space="preserve">Шрифт клеток в </t>
    </r>
    <r>
      <rPr>
        <b/>
        <sz val="10"/>
        <color indexed="10"/>
        <rFont val="Arial"/>
        <family val="2"/>
      </rPr>
      <t xml:space="preserve">красном </t>
    </r>
    <r>
      <rPr>
        <b/>
        <sz val="10"/>
        <color indexed="8"/>
        <rFont val="Arial"/>
        <family val="2"/>
      </rPr>
      <t>цвете вычисления</t>
    </r>
    <r>
      <rPr>
        <b/>
        <sz val="10"/>
        <color indexed="10"/>
        <rFont val="Arial"/>
        <family val="2"/>
      </rPr>
      <t>!</t>
    </r>
  </si>
  <si>
    <r>
      <t>NB !</t>
    </r>
    <r>
      <rPr>
        <sz val="10"/>
        <rFont val="Arial"/>
        <family val="0"/>
      </rPr>
      <t xml:space="preserve"> Ширина классов* и вычисленные частоты вводятся соответственно в колонках (1) и (2), шрифт которых отмечены </t>
    </r>
    <r>
      <rPr>
        <b/>
        <sz val="10"/>
        <color indexed="12"/>
        <rFont val="Arial"/>
        <family val="2"/>
      </rPr>
      <t>синем</t>
    </r>
    <r>
      <rPr>
        <sz val="10"/>
        <rFont val="Arial"/>
        <family val="0"/>
      </rPr>
      <t xml:space="preserve"> цветом.</t>
    </r>
  </si>
  <si>
    <r>
      <t>Скорость ветра,</t>
    </r>
    <r>
      <rPr>
        <i/>
        <sz val="10"/>
        <rFont val="Arial"/>
        <family val="2"/>
      </rPr>
      <t xml:space="preserve"> X</t>
    </r>
    <r>
      <rPr>
        <i/>
        <vertAlign val="subscript"/>
        <sz val="10"/>
        <rFont val="Arial"/>
        <family val="2"/>
      </rPr>
      <t>j</t>
    </r>
  </si>
  <si>
    <r>
      <t xml:space="preserve">См. файл: </t>
    </r>
    <r>
      <rPr>
        <b/>
        <sz val="10"/>
        <rFont val="Arial"/>
        <family val="2"/>
      </rPr>
      <t>Point_Interval_and_Tolerance_Intervals_Estimation_Dec_22_2014.xls</t>
    </r>
  </si>
  <si>
    <r>
      <t>k</t>
    </r>
    <r>
      <rPr>
        <sz val="12"/>
        <rFont val="Arial"/>
        <family val="0"/>
      </rPr>
      <t xml:space="preserve"> диаграмма</t>
    </r>
  </si>
  <si>
    <r>
      <t xml:space="preserve">Если </t>
    </r>
    <r>
      <rPr>
        <sz val="10"/>
        <rFont val="Symbol"/>
        <family val="1"/>
      </rPr>
      <t>k</t>
    </r>
    <r>
      <rPr>
        <sz val="10"/>
        <rFont val="Arial"/>
        <family val="2"/>
      </rPr>
      <t xml:space="preserve"> = 0</t>
    </r>
    <r>
      <rPr>
        <sz val="10"/>
        <rFont val="Arial"/>
        <family val="0"/>
      </rPr>
      <t xml:space="preserve">, то получим или нормальную кривую, когда </t>
    </r>
    <r>
      <rPr>
        <i/>
        <sz val="10"/>
        <rFont val="Arial"/>
        <family val="2"/>
      </rPr>
      <t>r</t>
    </r>
    <r>
      <rPr>
        <i/>
        <vertAlign val="subscript"/>
        <sz val="10"/>
        <rFont val="Arial"/>
        <family val="2"/>
      </rPr>
      <t>4</t>
    </r>
    <r>
      <rPr>
        <sz val="10"/>
        <rFont val="Arial"/>
        <family val="2"/>
      </rPr>
      <t xml:space="preserve"> = 3 </t>
    </r>
  </si>
  <si>
    <r>
      <t xml:space="preserve">или тип II, когда </t>
    </r>
    <r>
      <rPr>
        <i/>
        <sz val="10"/>
        <rFont val="Arial"/>
        <family val="2"/>
      </rPr>
      <t>r</t>
    </r>
    <r>
      <rPr>
        <i/>
        <vertAlign val="subscript"/>
        <sz val="10"/>
        <rFont val="Arial"/>
        <family val="2"/>
      </rPr>
      <t>4</t>
    </r>
    <r>
      <rPr>
        <sz val="10"/>
        <rFont val="Arial"/>
        <family val="0"/>
      </rPr>
      <t xml:space="preserve"> &lt; 3; или же тип VII, когда </t>
    </r>
    <r>
      <rPr>
        <i/>
        <sz val="10"/>
        <rFont val="Arial"/>
        <family val="2"/>
      </rPr>
      <t>r</t>
    </r>
    <r>
      <rPr>
        <i/>
        <vertAlign val="subscript"/>
        <sz val="10"/>
        <rFont val="Arial"/>
        <family val="2"/>
      </rPr>
      <t>4</t>
    </r>
    <r>
      <rPr>
        <sz val="10"/>
        <rFont val="Arial"/>
        <family val="0"/>
      </rPr>
      <t xml:space="preserve"> &gt; 3. Если </t>
    </r>
    <r>
      <rPr>
        <sz val="10"/>
        <rFont val="Symbol"/>
        <family val="1"/>
      </rPr>
      <t>k</t>
    </r>
    <r>
      <rPr>
        <sz val="10"/>
        <rFont val="Arial"/>
        <family val="0"/>
      </rPr>
      <t xml:space="preserve"> = 1, </t>
    </r>
  </si>
  <si>
    <r>
      <t xml:space="preserve">то будем иметь тип V. Наконец, если </t>
    </r>
    <r>
      <rPr>
        <sz val="10"/>
        <rFont val="Symbol"/>
        <family val="1"/>
      </rPr>
      <t>k</t>
    </r>
    <r>
      <rPr>
        <sz val="10"/>
        <rFont val="Arial"/>
        <family val="0"/>
      </rPr>
      <t xml:space="preserve"> = ±oo, получим тип III. </t>
    </r>
  </si>
  <si>
    <r>
      <t xml:space="preserve">Limited range; Usually is bell-shaped, but may be skewed. Can be </t>
    </r>
    <r>
      <rPr>
        <b/>
        <i/>
        <sz val="10"/>
        <rFont val="Arial"/>
        <family val="2"/>
      </rPr>
      <t>U-</t>
    </r>
    <r>
      <rPr>
        <sz val="10"/>
        <rFont val="Arial"/>
        <family val="0"/>
      </rPr>
      <t xml:space="preserve">, </t>
    </r>
    <r>
      <rPr>
        <b/>
        <i/>
        <sz val="10"/>
        <rFont val="Arial"/>
        <family val="2"/>
      </rPr>
      <t>J</t>
    </r>
    <r>
      <rPr>
        <sz val="10"/>
        <rFont val="Arial"/>
        <family val="0"/>
      </rPr>
      <t xml:space="preserve">-, or twisted </t>
    </r>
    <r>
      <rPr>
        <b/>
        <i/>
        <sz val="10"/>
        <rFont val="Arial"/>
        <family val="2"/>
      </rPr>
      <t>J-</t>
    </r>
    <r>
      <rPr>
        <sz val="10"/>
        <rFont val="Arial"/>
        <family val="0"/>
      </rPr>
      <t>shaped</t>
    </r>
  </si>
  <si>
    <r>
      <t xml:space="preserve">Limited range; symmetrical usually bell-shaped but </t>
    </r>
    <r>
      <rPr>
        <b/>
        <i/>
        <sz val="10"/>
        <rFont val="Arial"/>
        <family val="2"/>
      </rPr>
      <t>U-</t>
    </r>
    <r>
      <rPr>
        <sz val="10"/>
        <rFont val="Arial"/>
        <family val="0"/>
      </rPr>
      <t>shaped when K &lt; - 1.2</t>
    </r>
  </si>
  <si>
    <r>
      <t>Unlimited range in one direction; usually bell-shaped, but may be</t>
    </r>
    <r>
      <rPr>
        <b/>
        <i/>
        <sz val="10"/>
        <rFont val="Arial"/>
        <family val="2"/>
      </rPr>
      <t xml:space="preserve"> J-shaped</t>
    </r>
  </si>
  <si>
    <r>
      <t xml:space="preserve">Unlimited range in one direction; may be Skewed, bell- or </t>
    </r>
    <r>
      <rPr>
        <b/>
        <i/>
        <sz val="10"/>
        <rFont val="Arial"/>
        <family val="2"/>
      </rPr>
      <t>J-</t>
    </r>
    <r>
      <rPr>
        <sz val="10"/>
        <rFont val="Arial"/>
        <family val="0"/>
      </rPr>
      <t>shaped</t>
    </r>
  </si>
  <si>
    <r>
      <t xml:space="preserve">Тип І. Частный случай Бета </t>
    </r>
    <r>
      <rPr>
        <b/>
        <i/>
        <sz val="10"/>
        <rFont val="Symbol"/>
        <family val="1"/>
      </rPr>
      <t>b</t>
    </r>
    <r>
      <rPr>
        <b/>
        <sz val="10"/>
        <rFont val="Arial"/>
        <family val="2"/>
      </rPr>
      <t>-распределение І-го рода. Определение начальных и центральных моментов</t>
    </r>
  </si>
  <si>
    <r>
      <t xml:space="preserve">Суммы </t>
    </r>
    <r>
      <rPr>
        <b/>
        <sz val="10"/>
        <color indexed="8"/>
        <rFont val="Symbol"/>
        <family val="1"/>
      </rPr>
      <t>S</t>
    </r>
  </si>
  <si>
    <r>
      <t xml:space="preserve"> X</t>
    </r>
    <r>
      <rPr>
        <b/>
        <i/>
        <vertAlign val="subscript"/>
        <sz val="10"/>
        <rFont val="Arial"/>
        <family val="2"/>
      </rPr>
      <t>j</t>
    </r>
  </si>
  <si>
    <r>
      <t xml:space="preserve"> n</t>
    </r>
    <r>
      <rPr>
        <b/>
        <i/>
        <vertAlign val="subscript"/>
        <sz val="10"/>
        <rFont val="Arial"/>
        <family val="2"/>
      </rPr>
      <t>j</t>
    </r>
  </si>
  <si>
    <r>
      <t>x</t>
    </r>
    <r>
      <rPr>
        <b/>
        <i/>
        <vertAlign val="subscript"/>
        <sz val="10"/>
        <rFont val="Arial"/>
        <family val="2"/>
      </rPr>
      <t>i</t>
    </r>
  </si>
  <si>
    <r>
      <t xml:space="preserve"> n</t>
    </r>
    <r>
      <rPr>
        <b/>
        <i/>
        <vertAlign val="subscript"/>
        <sz val="10"/>
        <rFont val="Arial"/>
        <family val="2"/>
      </rPr>
      <t>j</t>
    </r>
    <r>
      <rPr>
        <b/>
        <i/>
        <sz val="10"/>
        <rFont val="Arial"/>
        <family val="2"/>
      </rPr>
      <t xml:space="preserve"> x</t>
    </r>
    <r>
      <rPr>
        <b/>
        <i/>
        <vertAlign val="subscript"/>
        <sz val="10"/>
        <rFont val="Arial"/>
        <family val="2"/>
      </rPr>
      <t>i</t>
    </r>
  </si>
  <si>
    <r>
      <t xml:space="preserve"> n</t>
    </r>
    <r>
      <rPr>
        <b/>
        <i/>
        <vertAlign val="subscript"/>
        <sz val="10"/>
        <rFont val="Arial"/>
        <family val="2"/>
      </rPr>
      <t>j</t>
    </r>
    <r>
      <rPr>
        <b/>
        <i/>
        <sz val="10"/>
        <rFont val="Arial"/>
        <family val="2"/>
      </rPr>
      <t xml:space="preserve"> x</t>
    </r>
    <r>
      <rPr>
        <b/>
        <i/>
        <vertAlign val="subscript"/>
        <sz val="10"/>
        <rFont val="Arial"/>
        <family val="2"/>
      </rPr>
      <t>i</t>
    </r>
    <r>
      <rPr>
        <b/>
        <i/>
        <vertAlign val="superscript"/>
        <sz val="10"/>
        <rFont val="Arial"/>
        <family val="2"/>
      </rPr>
      <t>2</t>
    </r>
  </si>
  <si>
    <r>
      <t xml:space="preserve"> n</t>
    </r>
    <r>
      <rPr>
        <b/>
        <i/>
        <vertAlign val="subscript"/>
        <sz val="10"/>
        <rFont val="Arial"/>
        <family val="2"/>
      </rPr>
      <t>j</t>
    </r>
    <r>
      <rPr>
        <b/>
        <i/>
        <sz val="10"/>
        <rFont val="Arial"/>
        <family val="2"/>
      </rPr>
      <t xml:space="preserve"> x</t>
    </r>
    <r>
      <rPr>
        <b/>
        <i/>
        <vertAlign val="subscript"/>
        <sz val="10"/>
        <rFont val="Arial"/>
        <family val="2"/>
      </rPr>
      <t>i</t>
    </r>
    <r>
      <rPr>
        <b/>
        <i/>
        <vertAlign val="superscript"/>
        <sz val="10"/>
        <rFont val="Arial"/>
        <family val="2"/>
      </rPr>
      <t>3</t>
    </r>
  </si>
  <si>
    <r>
      <t xml:space="preserve"> n</t>
    </r>
    <r>
      <rPr>
        <b/>
        <i/>
        <vertAlign val="subscript"/>
        <sz val="10"/>
        <rFont val="Arial"/>
        <family val="2"/>
      </rPr>
      <t>j</t>
    </r>
    <r>
      <rPr>
        <b/>
        <i/>
        <sz val="10"/>
        <rFont val="Arial"/>
        <family val="2"/>
      </rPr>
      <t xml:space="preserve"> x</t>
    </r>
    <r>
      <rPr>
        <b/>
        <i/>
        <vertAlign val="subscript"/>
        <sz val="10"/>
        <rFont val="Arial"/>
        <family val="2"/>
      </rPr>
      <t>i</t>
    </r>
    <r>
      <rPr>
        <b/>
        <i/>
        <vertAlign val="superscript"/>
        <sz val="10"/>
        <rFont val="Arial"/>
        <family val="2"/>
      </rPr>
      <t>4</t>
    </r>
  </si>
</sst>
</file>

<file path=xl/styles.xml><?xml version="1.0" encoding="utf-8"?>
<styleSheet xmlns="http://schemas.openxmlformats.org/spreadsheetml/2006/main">
  <numFmts count="2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0"/>
    <numFmt numFmtId="168" formatCode="0.000"/>
    <numFmt numFmtId="169" formatCode="0.00000"/>
    <numFmt numFmtId="170" formatCode="0.0"/>
    <numFmt numFmtId="171" formatCode="0.000E+00"/>
    <numFmt numFmtId="172" formatCode="0.000000"/>
    <numFmt numFmtId="173" formatCode="0.0000000000"/>
    <numFmt numFmtId="174" formatCode="0.0000000"/>
    <numFmt numFmtId="175" formatCode="00000"/>
    <numFmt numFmtId="176" formatCode="0.00000E+00"/>
    <numFmt numFmtId="177" formatCode="0.000000000"/>
  </numFmts>
  <fonts count="4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.75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.75"/>
      <name val="Arial"/>
      <family val="0"/>
    </font>
    <font>
      <sz val="8"/>
      <name val="Arial"/>
      <family val="2"/>
    </font>
    <font>
      <b/>
      <sz val="11"/>
      <name val="Arial"/>
      <family val="2"/>
    </font>
    <font>
      <b/>
      <i/>
      <sz val="11"/>
      <name val="Symbol"/>
      <family val="1"/>
    </font>
    <font>
      <i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i/>
      <vertAlign val="subscript"/>
      <sz val="10"/>
      <name val="Arial"/>
      <family val="2"/>
    </font>
    <font>
      <sz val="10"/>
      <color indexed="12"/>
      <name val="Arial"/>
      <family val="2"/>
    </font>
    <font>
      <b/>
      <sz val="11"/>
      <name val="Symbol"/>
      <family val="1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i/>
      <sz val="9"/>
      <name val="Arial"/>
      <family val="2"/>
    </font>
    <font>
      <i/>
      <vertAlign val="subscript"/>
      <sz val="9"/>
      <name val="Arial"/>
      <family val="2"/>
    </font>
    <font>
      <sz val="10"/>
      <name val="Tahoma"/>
      <family val="2"/>
    </font>
    <font>
      <vertAlign val="subscript"/>
      <sz val="10"/>
      <name val="Tahoma"/>
      <family val="2"/>
    </font>
    <font>
      <b/>
      <sz val="10"/>
      <name val="Tahoma"/>
      <family val="2"/>
    </font>
    <font>
      <i/>
      <sz val="10"/>
      <name val="Tahoma"/>
      <family val="2"/>
    </font>
    <font>
      <i/>
      <sz val="10"/>
      <name val="Symbol"/>
      <family val="1"/>
    </font>
    <font>
      <b/>
      <i/>
      <sz val="10"/>
      <name val="Tahoma"/>
      <family val="2"/>
    </font>
    <font>
      <i/>
      <sz val="9"/>
      <name val="Tahoma"/>
      <family val="2"/>
    </font>
    <font>
      <sz val="9"/>
      <name val="Tahoma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sz val="10"/>
      <color indexed="15"/>
      <name val="Arial"/>
      <family val="2"/>
    </font>
    <font>
      <b/>
      <sz val="10"/>
      <name val="Symbol"/>
      <family val="1"/>
    </font>
    <font>
      <sz val="14"/>
      <name val="Symbol"/>
      <family val="1"/>
    </font>
    <font>
      <sz val="12"/>
      <name val="Arial"/>
      <family val="0"/>
    </font>
    <font>
      <sz val="10"/>
      <name val="Symbol"/>
      <family val="1"/>
    </font>
    <font>
      <b/>
      <i/>
      <sz val="10"/>
      <name val="Symbol"/>
      <family val="1"/>
    </font>
    <font>
      <sz val="8"/>
      <color indexed="10"/>
      <name val="Arial"/>
      <family val="2"/>
    </font>
    <font>
      <b/>
      <sz val="10"/>
      <color indexed="8"/>
      <name val="Symbol"/>
      <family val="1"/>
    </font>
    <font>
      <b/>
      <i/>
      <sz val="8"/>
      <name val="Arial"/>
      <family val="2"/>
    </font>
    <font>
      <b/>
      <i/>
      <vertAlign val="subscript"/>
      <sz val="10"/>
      <name val="Arial"/>
      <family val="2"/>
    </font>
    <font>
      <b/>
      <i/>
      <vertAlign val="superscript"/>
      <sz val="10"/>
      <name val="Arial"/>
      <family val="2"/>
    </font>
    <font>
      <i/>
      <sz val="8"/>
      <name val="Arial"/>
      <family val="2"/>
    </font>
    <font>
      <b/>
      <sz val="8"/>
      <name val="Tahoma"/>
      <family val="2"/>
    </font>
    <font>
      <i/>
      <vertAlign val="subscript"/>
      <sz val="10"/>
      <name val="Tahoma"/>
      <family val="2"/>
    </font>
  </fonts>
  <fills count="9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double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5">
    <xf numFmtId="0" fontId="0" fillId="0" borderId="0" xfId="0" applyAlignment="1">
      <alignment/>
    </xf>
    <xf numFmtId="0" fontId="8" fillId="2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1" fontId="11" fillId="0" borderId="0" xfId="0" applyNumberFormat="1" applyFon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2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wrapText="1"/>
    </xf>
    <xf numFmtId="49" fontId="0" fillId="0" borderId="5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/>
    </xf>
    <xf numFmtId="0" fontId="14" fillId="0" borderId="0" xfId="0" applyFont="1" applyAlignment="1">
      <alignment horizontal="center"/>
    </xf>
    <xf numFmtId="0" fontId="0" fillId="0" borderId="0" xfId="0" applyFill="1" applyAlignment="1">
      <alignment horizontal="center" vertical="center"/>
    </xf>
    <xf numFmtId="2" fontId="11" fillId="0" borderId="6" xfId="0" applyNumberFormat="1" applyFont="1" applyBorder="1" applyAlignment="1">
      <alignment horizontal="center" vertical="center"/>
    </xf>
    <xf numFmtId="170" fontId="11" fillId="0" borderId="7" xfId="0" applyNumberFormat="1" applyFont="1" applyBorder="1" applyAlignment="1">
      <alignment horizontal="center" vertical="center"/>
    </xf>
    <xf numFmtId="0" fontId="15" fillId="0" borderId="6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167" fontId="11" fillId="0" borderId="8" xfId="0" applyNumberFormat="1" applyFont="1" applyBorder="1" applyAlignment="1">
      <alignment horizontal="center"/>
    </xf>
    <xf numFmtId="1" fontId="11" fillId="0" borderId="7" xfId="0" applyNumberFormat="1" applyFont="1" applyBorder="1" applyAlignment="1">
      <alignment horizontal="center"/>
    </xf>
    <xf numFmtId="0" fontId="0" fillId="0" borderId="9" xfId="0" applyFill="1" applyBorder="1" applyAlignment="1">
      <alignment horizontal="right" vertical="center"/>
    </xf>
    <xf numFmtId="167" fontId="11" fillId="0" borderId="10" xfId="0" applyNumberFormat="1" applyFont="1" applyFill="1" applyBorder="1" applyAlignment="1">
      <alignment horizontal="left" vertical="center"/>
    </xf>
    <xf numFmtId="0" fontId="0" fillId="3" borderId="11" xfId="0" applyFill="1" applyBorder="1" applyAlignment="1">
      <alignment vertical="center"/>
    </xf>
    <xf numFmtId="2" fontId="11" fillId="3" borderId="10" xfId="0" applyNumberFormat="1" applyFont="1" applyFill="1" applyBorder="1" applyAlignment="1">
      <alignment horizontal="center" vertical="center"/>
    </xf>
    <xf numFmtId="0" fontId="10" fillId="0" borderId="11" xfId="0" applyFont="1" applyBorder="1" applyAlignment="1">
      <alignment horizontal="right" vertical="center"/>
    </xf>
    <xf numFmtId="2" fontId="11" fillId="0" borderId="12" xfId="0" applyNumberFormat="1" applyFont="1" applyBorder="1" applyAlignment="1">
      <alignment horizontal="left" vertical="center"/>
    </xf>
    <xf numFmtId="0" fontId="10" fillId="0" borderId="0" xfId="0" applyFont="1" applyAlignment="1">
      <alignment horizontal="right"/>
    </xf>
    <xf numFmtId="168" fontId="11" fillId="4" borderId="0" xfId="0" applyNumberFormat="1" applyFont="1" applyFill="1" applyAlignment="1">
      <alignment/>
    </xf>
    <xf numFmtId="167" fontId="12" fillId="0" borderId="0" xfId="0" applyNumberFormat="1" applyFont="1" applyAlignment="1">
      <alignment/>
    </xf>
    <xf numFmtId="49" fontId="0" fillId="0" borderId="3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49" fontId="0" fillId="0" borderId="4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16" fillId="0" borderId="0" xfId="0" applyFont="1" applyAlignment="1">
      <alignment horizontal="center"/>
    </xf>
    <xf numFmtId="168" fontId="12" fillId="4" borderId="0" xfId="0" applyNumberFormat="1" applyFont="1" applyFill="1" applyAlignment="1">
      <alignment horizontal="right"/>
    </xf>
    <xf numFmtId="0" fontId="14" fillId="5" borderId="3" xfId="0" applyFont="1" applyFill="1" applyBorder="1" applyAlignment="1">
      <alignment horizontal="center"/>
    </xf>
    <xf numFmtId="0" fontId="14" fillId="5" borderId="13" xfId="0" applyFont="1" applyFill="1" applyBorder="1" applyAlignment="1">
      <alignment horizontal="center"/>
    </xf>
    <xf numFmtId="168" fontId="11" fillId="0" borderId="13" xfId="0" applyNumberFormat="1" applyFont="1" applyBorder="1" applyAlignment="1">
      <alignment horizontal="center"/>
    </xf>
    <xf numFmtId="1" fontId="11" fillId="6" borderId="4" xfId="0" applyNumberFormat="1" applyFont="1" applyFill="1" applyBorder="1" applyAlignment="1">
      <alignment horizontal="center"/>
    </xf>
    <xf numFmtId="0" fontId="0" fillId="0" borderId="16" xfId="0" applyBorder="1" applyAlignment="1">
      <alignment horizontal="right"/>
    </xf>
    <xf numFmtId="168" fontId="11" fillId="0" borderId="16" xfId="0" applyNumberFormat="1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168" fontId="12" fillId="0" borderId="0" xfId="0" applyNumberFormat="1" applyFont="1" applyAlignment="1">
      <alignment horizontal="right"/>
    </xf>
    <xf numFmtId="167" fontId="11" fillId="0" borderId="0" xfId="0" applyNumberFormat="1" applyFont="1" applyAlignment="1">
      <alignment/>
    </xf>
    <xf numFmtId="1" fontId="11" fillId="0" borderId="4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68" fontId="11" fillId="0" borderId="17" xfId="0" applyNumberFormat="1" applyFont="1" applyBorder="1" applyAlignment="1">
      <alignment horizontal="center"/>
    </xf>
    <xf numFmtId="0" fontId="0" fillId="0" borderId="18" xfId="0" applyBorder="1" applyAlignment="1">
      <alignment horizontal="right"/>
    </xf>
    <xf numFmtId="168" fontId="11" fillId="0" borderId="18" xfId="0" applyNumberFormat="1" applyFont="1" applyBorder="1" applyAlignment="1">
      <alignment horizontal="center"/>
    </xf>
    <xf numFmtId="167" fontId="11" fillId="0" borderId="18" xfId="0" applyNumberFormat="1" applyFont="1" applyBorder="1" applyAlignment="1">
      <alignment horizontal="center"/>
    </xf>
    <xf numFmtId="168" fontId="11" fillId="0" borderId="19" xfId="0" applyNumberFormat="1" applyFont="1" applyBorder="1" applyAlignment="1">
      <alignment horizontal="center"/>
    </xf>
    <xf numFmtId="168" fontId="0" fillId="0" borderId="0" xfId="0" applyNumberFormat="1" applyFill="1" applyAlignment="1">
      <alignment/>
    </xf>
    <xf numFmtId="167" fontId="0" fillId="0" borderId="0" xfId="0" applyNumberFormat="1" applyAlignment="1">
      <alignment/>
    </xf>
    <xf numFmtId="0" fontId="14" fillId="0" borderId="0" xfId="0" applyFont="1" applyAlignment="1">
      <alignment horizontal="left"/>
    </xf>
    <xf numFmtId="0" fontId="10" fillId="0" borderId="20" xfId="0" applyFont="1" applyBorder="1" applyAlignment="1">
      <alignment horizontal="right"/>
    </xf>
    <xf numFmtId="0" fontId="11" fillId="0" borderId="21" xfId="0" applyFont="1" applyBorder="1" applyAlignment="1">
      <alignment horizontal="center"/>
    </xf>
    <xf numFmtId="0" fontId="17" fillId="0" borderId="0" xfId="0" applyFont="1" applyFill="1" applyBorder="1" applyAlignment="1">
      <alignment horizontal="right"/>
    </xf>
    <xf numFmtId="168" fontId="11" fillId="0" borderId="0" xfId="0" applyNumberFormat="1" applyFont="1" applyBorder="1" applyAlignment="1">
      <alignment horizontal="center"/>
    </xf>
    <xf numFmtId="168" fontId="0" fillId="0" borderId="0" xfId="0" applyNumberFormat="1" applyAlignment="1">
      <alignment/>
    </xf>
    <xf numFmtId="169" fontId="11" fillId="0" borderId="0" xfId="0" applyNumberFormat="1" applyFont="1" applyAlignment="1">
      <alignment/>
    </xf>
    <xf numFmtId="169" fontId="11" fillId="0" borderId="0" xfId="0" applyNumberFormat="1" applyFont="1" applyAlignment="1">
      <alignment horizontal="center"/>
    </xf>
    <xf numFmtId="1" fontId="11" fillId="0" borderId="0" xfId="0" applyNumberFormat="1" applyFont="1" applyBorder="1" applyAlignment="1">
      <alignment horizontal="right"/>
    </xf>
    <xf numFmtId="168" fontId="11" fillId="4" borderId="0" xfId="0" applyNumberFormat="1" applyFont="1" applyFill="1" applyAlignment="1">
      <alignment horizontal="right"/>
    </xf>
    <xf numFmtId="168" fontId="12" fillId="4" borderId="0" xfId="0" applyNumberFormat="1" applyFont="1" applyFill="1" applyAlignment="1">
      <alignment/>
    </xf>
    <xf numFmtId="1" fontId="0" fillId="0" borderId="0" xfId="0" applyNumberFormat="1" applyAlignment="1">
      <alignment horizontal="center"/>
    </xf>
    <xf numFmtId="0" fontId="1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17" fillId="0" borderId="0" xfId="0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23" xfId="0" applyBorder="1" applyAlignment="1">
      <alignment/>
    </xf>
    <xf numFmtId="167" fontId="0" fillId="0" borderId="0" xfId="0" applyNumberFormat="1" applyAlignment="1">
      <alignment horizontal="center"/>
    </xf>
    <xf numFmtId="168" fontId="11" fillId="7" borderId="0" xfId="0" applyNumberFormat="1" applyFont="1" applyFill="1" applyAlignment="1">
      <alignment/>
    </xf>
    <xf numFmtId="168" fontId="12" fillId="7" borderId="0" xfId="0" applyNumberFormat="1" applyFont="1" applyFill="1" applyAlignment="1">
      <alignment horizontal="center"/>
    </xf>
    <xf numFmtId="169" fontId="0" fillId="0" borderId="0" xfId="0" applyNumberFormat="1" applyAlignment="1">
      <alignment/>
    </xf>
    <xf numFmtId="0" fontId="0" fillId="0" borderId="23" xfId="0" applyBorder="1" applyAlignment="1">
      <alignment horizontal="center"/>
    </xf>
    <xf numFmtId="167" fontId="11" fillId="4" borderId="0" xfId="0" applyNumberFormat="1" applyFont="1" applyFill="1" applyAlignment="1">
      <alignment/>
    </xf>
    <xf numFmtId="0" fontId="0" fillId="0" borderId="24" xfId="0" applyBorder="1" applyAlignment="1">
      <alignment/>
    </xf>
    <xf numFmtId="0" fontId="0" fillId="0" borderId="0" xfId="0" applyAlignment="1">
      <alignment horizontal="left"/>
    </xf>
    <xf numFmtId="1" fontId="17" fillId="0" borderId="0" xfId="0" applyNumberFormat="1" applyFont="1" applyBorder="1" applyAlignment="1">
      <alignment horizontal="center"/>
    </xf>
    <xf numFmtId="0" fontId="16" fillId="0" borderId="0" xfId="0" applyFont="1" applyAlignment="1">
      <alignment horizontal="left"/>
    </xf>
    <xf numFmtId="0" fontId="0" fillId="0" borderId="0" xfId="0" applyAlignment="1">
      <alignment horizontal="right"/>
    </xf>
    <xf numFmtId="168" fontId="12" fillId="6" borderId="13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68" fontId="11" fillId="0" borderId="0" xfId="0" applyNumberFormat="1" applyFont="1" applyAlignment="1">
      <alignment/>
    </xf>
    <xf numFmtId="0" fontId="0" fillId="0" borderId="2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0" fillId="8" borderId="25" xfId="0" applyFill="1" applyBorder="1" applyAlignment="1">
      <alignment/>
    </xf>
    <xf numFmtId="0" fontId="0" fillId="8" borderId="26" xfId="0" applyFill="1" applyBorder="1" applyAlignment="1">
      <alignment/>
    </xf>
    <xf numFmtId="0" fontId="0" fillId="8" borderId="27" xfId="0" applyFill="1" applyBorder="1" applyAlignment="1">
      <alignment/>
    </xf>
    <xf numFmtId="0" fontId="0" fillId="8" borderId="28" xfId="0" applyFill="1" applyBorder="1" applyAlignment="1">
      <alignment/>
    </xf>
    <xf numFmtId="0" fontId="10" fillId="8" borderId="0" xfId="0" applyFont="1" applyFill="1" applyAlignment="1">
      <alignment horizontal="right"/>
    </xf>
    <xf numFmtId="0" fontId="14" fillId="8" borderId="0" xfId="0" applyFont="1" applyFill="1" applyAlignment="1">
      <alignment horizontal="center"/>
    </xf>
    <xf numFmtId="0" fontId="0" fillId="8" borderId="29" xfId="0" applyFill="1" applyBorder="1" applyAlignment="1">
      <alignment/>
    </xf>
    <xf numFmtId="0" fontId="0" fillId="8" borderId="30" xfId="0" applyFill="1" applyBorder="1" applyAlignment="1">
      <alignment/>
    </xf>
    <xf numFmtId="0" fontId="10" fillId="0" borderId="0" xfId="0" applyFont="1" applyAlignment="1">
      <alignment horizontal="right" vertical="center" wrapText="1"/>
    </xf>
    <xf numFmtId="0" fontId="0" fillId="0" borderId="0" xfId="0" applyAlignment="1">
      <alignment vertical="center" wrapText="1"/>
    </xf>
    <xf numFmtId="168" fontId="11" fillId="0" borderId="0" xfId="0" applyNumberFormat="1" applyFont="1" applyAlignment="1">
      <alignment vertical="center" wrapText="1"/>
    </xf>
    <xf numFmtId="0" fontId="19" fillId="0" borderId="0" xfId="0" applyFont="1" applyAlignment="1">
      <alignment horizontal="right"/>
    </xf>
    <xf numFmtId="167" fontId="11" fillId="0" borderId="0" xfId="0" applyNumberFormat="1" applyFont="1" applyAlignment="1">
      <alignment horizontal="center"/>
    </xf>
    <xf numFmtId="0" fontId="10" fillId="8" borderId="0" xfId="0" applyFont="1" applyFill="1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2" fontId="11" fillId="8" borderId="0" xfId="0" applyNumberFormat="1" applyFont="1" applyFill="1" applyAlignment="1">
      <alignment horizontal="center" vertical="center" wrapText="1"/>
    </xf>
    <xf numFmtId="0" fontId="18" fillId="0" borderId="0" xfId="0" applyFont="1" applyAlignment="1">
      <alignment/>
    </xf>
    <xf numFmtId="168" fontId="0" fillId="0" borderId="0" xfId="0" applyNumberFormat="1" applyAlignment="1">
      <alignment vertical="center" wrapText="1"/>
    </xf>
    <xf numFmtId="0" fontId="0" fillId="8" borderId="0" xfId="0" applyFill="1" applyAlignment="1">
      <alignment vertical="center" wrapText="1"/>
    </xf>
    <xf numFmtId="2" fontId="18" fillId="0" borderId="13" xfId="0" applyNumberFormat="1" applyFont="1" applyFill="1" applyBorder="1" applyAlignment="1">
      <alignment horizontal="center"/>
    </xf>
    <xf numFmtId="0" fontId="30" fillId="0" borderId="0" xfId="0" applyFont="1" applyAlignment="1">
      <alignment/>
    </xf>
    <xf numFmtId="0" fontId="12" fillId="0" borderId="0" xfId="0" applyFont="1" applyAlignment="1">
      <alignment/>
    </xf>
    <xf numFmtId="49" fontId="0" fillId="0" borderId="1" xfId="0" applyNumberFormat="1" applyFont="1" applyBorder="1" applyAlignment="1">
      <alignment horizontal="center" vertical="center" wrapText="1"/>
    </xf>
    <xf numFmtId="0" fontId="32" fillId="0" borderId="6" xfId="0" applyFont="1" applyBorder="1" applyAlignment="1">
      <alignment horizontal="center"/>
    </xf>
    <xf numFmtId="0" fontId="0" fillId="0" borderId="8" xfId="0" applyBorder="1" applyAlignment="1">
      <alignment/>
    </xf>
    <xf numFmtId="170" fontId="11" fillId="0" borderId="7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167" fontId="11" fillId="0" borderId="13" xfId="0" applyNumberFormat="1" applyFont="1" applyBorder="1" applyAlignment="1">
      <alignment horizontal="center"/>
    </xf>
    <xf numFmtId="170" fontId="11" fillId="0" borderId="13" xfId="0" applyNumberFormat="1" applyFont="1" applyBorder="1" applyAlignment="1">
      <alignment horizontal="center"/>
    </xf>
    <xf numFmtId="0" fontId="33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center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3" xfId="0" applyFont="1" applyBorder="1" applyAlignment="1">
      <alignment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1" xfId="0" applyBorder="1" applyAlignment="1">
      <alignment/>
    </xf>
    <xf numFmtId="0" fontId="0" fillId="0" borderId="13" xfId="0" applyBorder="1" applyAlignment="1">
      <alignment/>
    </xf>
    <xf numFmtId="0" fontId="0" fillId="0" borderId="34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34" xfId="0" applyBorder="1" applyAlignment="1">
      <alignment horizontal="left" vertical="top"/>
    </xf>
    <xf numFmtId="0" fontId="0" fillId="0" borderId="6" xfId="0" applyFont="1" applyBorder="1" applyAlignment="1">
      <alignment/>
    </xf>
    <xf numFmtId="0" fontId="0" fillId="0" borderId="35" xfId="0" applyBorder="1" applyAlignment="1">
      <alignment wrapText="1"/>
    </xf>
    <xf numFmtId="0" fontId="0" fillId="0" borderId="36" xfId="0" applyBorder="1" applyAlignment="1">
      <alignment wrapText="1"/>
    </xf>
    <xf numFmtId="0" fontId="0" fillId="0" borderId="36" xfId="0" applyBorder="1" applyAlignment="1">
      <alignment/>
    </xf>
    <xf numFmtId="0" fontId="0" fillId="0" borderId="7" xfId="0" applyBorder="1" applyAlignment="1">
      <alignment/>
    </xf>
    <xf numFmtId="0" fontId="0" fillId="0" borderId="37" xfId="0" applyBorder="1" applyAlignment="1">
      <alignment horizontal="left" vertical="top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5" fillId="2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11" fillId="7" borderId="2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10" fillId="0" borderId="0" xfId="0" applyFont="1" applyBorder="1" applyAlignment="1">
      <alignment horizontal="right"/>
    </xf>
    <xf numFmtId="0" fontId="11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/>
    </xf>
    <xf numFmtId="0" fontId="37" fillId="4" borderId="0" xfId="0" applyFont="1" applyFill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0" fillId="0" borderId="1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31" xfId="0" applyBorder="1" applyAlignment="1">
      <alignment horizontal="right"/>
    </xf>
    <xf numFmtId="0" fontId="37" fillId="7" borderId="3" xfId="0" applyFont="1" applyFill="1" applyBorder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0" fontId="37" fillId="0" borderId="21" xfId="0" applyFont="1" applyBorder="1" applyAlignment="1">
      <alignment horizontal="center" vertical="center"/>
    </xf>
    <xf numFmtId="0" fontId="0" fillId="0" borderId="20" xfId="0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37" fillId="7" borderId="13" xfId="0" applyFont="1" applyFill="1" applyBorder="1" applyAlignment="1">
      <alignment horizontal="center" vertical="center"/>
    </xf>
    <xf numFmtId="0" fontId="37" fillId="4" borderId="21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11" fillId="0" borderId="0" xfId="0" applyFont="1" applyAlignment="1">
      <alignment horizontal="right"/>
    </xf>
    <xf numFmtId="167" fontId="11" fillId="4" borderId="6" xfId="0" applyNumberFormat="1" applyFont="1" applyFill="1" applyBorder="1" applyAlignment="1">
      <alignment horizontal="center"/>
    </xf>
    <xf numFmtId="167" fontId="11" fillId="4" borderId="8" xfId="0" applyNumberFormat="1" applyFont="1" applyFill="1" applyBorder="1" applyAlignment="1">
      <alignment horizontal="center"/>
    </xf>
    <xf numFmtId="167" fontId="11" fillId="4" borderId="7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167" fontId="11" fillId="0" borderId="0" xfId="0" applyNumberFormat="1" applyFont="1" applyBorder="1" applyAlignment="1">
      <alignment horizontal="center"/>
    </xf>
    <xf numFmtId="0" fontId="0" fillId="0" borderId="34" xfId="0" applyBorder="1" applyAlignment="1">
      <alignment horizontal="right"/>
    </xf>
    <xf numFmtId="0" fontId="14" fillId="0" borderId="16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34" xfId="0" applyBorder="1" applyAlignment="1">
      <alignment horizontal="center"/>
    </xf>
    <xf numFmtId="0" fontId="11" fillId="0" borderId="0" xfId="0" applyFont="1" applyAlignment="1">
      <alignment/>
    </xf>
    <xf numFmtId="167" fontId="11" fillId="0" borderId="6" xfId="0" applyNumberFormat="1" applyFont="1" applyBorder="1" applyAlignment="1">
      <alignment horizontal="center"/>
    </xf>
    <xf numFmtId="0" fontId="0" fillId="0" borderId="37" xfId="0" applyBorder="1" applyAlignment="1">
      <alignment horizontal="right"/>
    </xf>
    <xf numFmtId="0" fontId="14" fillId="0" borderId="18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168" fontId="17" fillId="0" borderId="0" xfId="0" applyNumberFormat="1" applyFont="1" applyAlignment="1">
      <alignment horizontal="center"/>
    </xf>
    <xf numFmtId="167" fontId="30" fillId="0" borderId="38" xfId="0" applyNumberFormat="1" applyFont="1" applyBorder="1" applyAlignment="1">
      <alignment horizontal="center" vertical="center" wrapText="1"/>
    </xf>
    <xf numFmtId="0" fontId="30" fillId="0" borderId="39" xfId="0" applyFont="1" applyBorder="1" applyAlignment="1">
      <alignment horizontal="center" vertical="center" wrapText="1"/>
    </xf>
    <xf numFmtId="0" fontId="30" fillId="0" borderId="40" xfId="0" applyFont="1" applyBorder="1" applyAlignment="1">
      <alignment horizontal="center" vertical="center" wrapText="1"/>
    </xf>
    <xf numFmtId="0" fontId="30" fillId="0" borderId="38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38" fillId="0" borderId="0" xfId="0" applyFont="1" applyAlignment="1">
      <alignment horizontal="center"/>
    </xf>
    <xf numFmtId="1" fontId="11" fillId="0" borderId="0" xfId="0" applyNumberFormat="1" applyFont="1" applyBorder="1" applyAlignment="1">
      <alignment horizontal="center"/>
    </xf>
    <xf numFmtId="1" fontId="11" fillId="8" borderId="41" xfId="0" applyNumberFormat="1" applyFont="1" applyFill="1" applyBorder="1" applyAlignment="1">
      <alignment horizontal="center"/>
    </xf>
    <xf numFmtId="1" fontId="11" fillId="8" borderId="42" xfId="0" applyNumberFormat="1" applyFont="1" applyFill="1" applyBorder="1" applyAlignment="1">
      <alignment horizontal="center"/>
    </xf>
    <xf numFmtId="1" fontId="11" fillId="8" borderId="43" xfId="0" applyNumberFormat="1" applyFont="1" applyFill="1" applyBorder="1" applyAlignment="1">
      <alignment horizontal="center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wrapText="1"/>
    </xf>
    <xf numFmtId="0" fontId="0" fillId="0" borderId="39" xfId="0" applyFont="1" applyBorder="1" applyAlignment="1">
      <alignment wrapText="1"/>
    </xf>
    <xf numFmtId="0" fontId="0" fillId="0" borderId="40" xfId="0" applyFont="1" applyBorder="1" applyAlignment="1">
      <alignment wrapText="1"/>
    </xf>
    <xf numFmtId="0" fontId="39" fillId="0" borderId="41" xfId="0" applyFont="1" applyBorder="1" applyAlignment="1">
      <alignment horizontal="center"/>
    </xf>
    <xf numFmtId="0" fontId="16" fillId="0" borderId="42" xfId="0" applyFont="1" applyBorder="1" applyAlignment="1">
      <alignment horizontal="center"/>
    </xf>
    <xf numFmtId="0" fontId="16" fillId="0" borderId="43" xfId="0" applyFont="1" applyBorder="1" applyAlignment="1">
      <alignment horizontal="center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42" fillId="0" borderId="44" xfId="0" applyFont="1" applyBorder="1" applyAlignment="1">
      <alignment horizontal="center"/>
    </xf>
    <xf numFmtId="0" fontId="37" fillId="0" borderId="45" xfId="0" applyFont="1" applyFill="1" applyBorder="1" applyAlignment="1">
      <alignment horizontal="center"/>
    </xf>
    <xf numFmtId="0" fontId="37" fillId="0" borderId="45" xfId="0" applyFont="1" applyBorder="1" applyAlignment="1">
      <alignment horizontal="center"/>
    </xf>
    <xf numFmtId="0" fontId="37" fillId="0" borderId="46" xfId="0" applyFont="1" applyBorder="1" applyAlignment="1">
      <alignment horizontal="center"/>
    </xf>
    <xf numFmtId="0" fontId="37" fillId="0" borderId="44" xfId="0" applyFont="1" applyBorder="1" applyAlignment="1">
      <alignment horizontal="center"/>
    </xf>
    <xf numFmtId="0" fontId="37" fillId="0" borderId="29" xfId="0" applyFont="1" applyBorder="1" applyAlignment="1">
      <alignment horizontal="center"/>
    </xf>
    <xf numFmtId="0" fontId="0" fillId="0" borderId="45" xfId="0" applyBorder="1" applyAlignment="1">
      <alignment/>
    </xf>
    <xf numFmtId="0" fontId="42" fillId="0" borderId="3" xfId="0" applyFont="1" applyBorder="1" applyAlignment="1">
      <alignment horizontal="center"/>
    </xf>
    <xf numFmtId="0" fontId="37" fillId="0" borderId="13" xfId="0" applyFont="1" applyFill="1" applyBorder="1" applyAlignment="1">
      <alignment horizontal="center"/>
    </xf>
    <xf numFmtId="0" fontId="37" fillId="0" borderId="13" xfId="0" applyFont="1" applyBorder="1" applyAlignment="1">
      <alignment horizontal="center"/>
    </xf>
    <xf numFmtId="0" fontId="37" fillId="0" borderId="4" xfId="0" applyFont="1" applyBorder="1" applyAlignment="1">
      <alignment horizontal="center"/>
    </xf>
    <xf numFmtId="0" fontId="37" fillId="0" borderId="3" xfId="0" applyFont="1" applyBorder="1" applyAlignment="1">
      <alignment horizontal="center"/>
    </xf>
    <xf numFmtId="0" fontId="37" fillId="0" borderId="20" xfId="0" applyFont="1" applyBorder="1" applyAlignment="1">
      <alignment horizontal="center"/>
    </xf>
    <xf numFmtId="0" fontId="42" fillId="0" borderId="6" xfId="0" applyFont="1" applyBorder="1" applyAlignment="1">
      <alignment horizontal="center"/>
    </xf>
    <xf numFmtId="0" fontId="37" fillId="0" borderId="8" xfId="0" applyFont="1" applyFill="1" applyBorder="1" applyAlignment="1">
      <alignment horizontal="center"/>
    </xf>
    <xf numFmtId="0" fontId="37" fillId="0" borderId="8" xfId="0" applyFont="1" applyBorder="1" applyAlignment="1">
      <alignment horizontal="center"/>
    </xf>
    <xf numFmtId="0" fontId="37" fillId="0" borderId="7" xfId="0" applyFont="1" applyBorder="1" applyAlignment="1">
      <alignment horizontal="center"/>
    </xf>
    <xf numFmtId="0" fontId="37" fillId="0" borderId="6" xfId="0" applyFont="1" applyBorder="1" applyAlignment="1">
      <alignment horizontal="center"/>
    </xf>
    <xf numFmtId="0" fontId="37" fillId="0" borderId="35" xfId="0" applyFont="1" applyBorder="1" applyAlignment="1">
      <alignment horizontal="center"/>
    </xf>
    <xf numFmtId="0" fontId="37" fillId="0" borderId="47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Распределение возраста научных работников СССР (1928 г.) (тип. І).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75"/>
          <c:y val="0.108"/>
          <c:w val="0.90975"/>
          <c:h val="0.82625"/>
        </c:manualLayout>
      </c:layout>
      <c:lineChart>
        <c:grouping val="standard"/>
        <c:varyColors val="0"/>
        <c:ser>
          <c:idx val="0"/>
          <c:order val="0"/>
          <c:tx>
            <c:strRef>
              <c:f>'[1]Тип І.'!$B$3</c:f>
              <c:strCache>
                <c:ptCount val="1"/>
                <c:pt idx="0">
                  <c:v>Частота, nj</c:v>
                </c:pt>
              </c:strCache>
            </c:strRef>
          </c:tx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'[1]Тип І.'!$A$6:$A$18</c:f>
              <c:numCache>
                <c:ptCount val="13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  <c:pt idx="4">
                  <c:v>40</c:v>
                </c:pt>
                <c:pt idx="5">
                  <c:v>45</c:v>
                </c:pt>
                <c:pt idx="6">
                  <c:v>50</c:v>
                </c:pt>
                <c:pt idx="7">
                  <c:v>55</c:v>
                </c:pt>
                <c:pt idx="8">
                  <c:v>60</c:v>
                </c:pt>
                <c:pt idx="9">
                  <c:v>65</c:v>
                </c:pt>
                <c:pt idx="10">
                  <c:v>70</c:v>
                </c:pt>
                <c:pt idx="11">
                  <c:v>75</c:v>
                </c:pt>
                <c:pt idx="12">
                  <c:v>80</c:v>
                </c:pt>
              </c:numCache>
            </c:numRef>
          </c:cat>
          <c:val>
            <c:numRef>
              <c:f>'[1]Тип І.'!$B$6:$B$18</c:f>
              <c:numCache>
                <c:ptCount val="13"/>
                <c:pt idx="0">
                  <c:v>11</c:v>
                </c:pt>
                <c:pt idx="1">
                  <c:v>93</c:v>
                </c:pt>
                <c:pt idx="2">
                  <c:v>163</c:v>
                </c:pt>
                <c:pt idx="3">
                  <c:v>178</c:v>
                </c:pt>
                <c:pt idx="4">
                  <c:v>176</c:v>
                </c:pt>
                <c:pt idx="5">
                  <c:v>132</c:v>
                </c:pt>
                <c:pt idx="6">
                  <c:v>100</c:v>
                </c:pt>
                <c:pt idx="7">
                  <c:v>67</c:v>
                </c:pt>
                <c:pt idx="8">
                  <c:v>40</c:v>
                </c:pt>
                <c:pt idx="9">
                  <c:v>24</c:v>
                </c:pt>
                <c:pt idx="10">
                  <c:v>12</c:v>
                </c:pt>
                <c:pt idx="11">
                  <c:v>3</c:v>
                </c:pt>
                <c:pt idx="12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'[1]Тип І.'!$D$3</c:f>
              <c:strCache>
                <c:ptCount val="1"/>
                <c:pt idx="0">
                  <c:v>Выравнивающие частоты,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'[1]Тип І.'!$A$6:$A$18</c:f>
              <c:numCache>
                <c:ptCount val="13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  <c:pt idx="4">
                  <c:v>40</c:v>
                </c:pt>
                <c:pt idx="5">
                  <c:v>45</c:v>
                </c:pt>
                <c:pt idx="6">
                  <c:v>50</c:v>
                </c:pt>
                <c:pt idx="7">
                  <c:v>55</c:v>
                </c:pt>
                <c:pt idx="8">
                  <c:v>60</c:v>
                </c:pt>
                <c:pt idx="9">
                  <c:v>65</c:v>
                </c:pt>
                <c:pt idx="10">
                  <c:v>70</c:v>
                </c:pt>
                <c:pt idx="11">
                  <c:v>75</c:v>
                </c:pt>
                <c:pt idx="12">
                  <c:v>80</c:v>
                </c:pt>
              </c:numCache>
            </c:numRef>
          </c:cat>
          <c:val>
            <c:numRef>
              <c:f>'[1]Тип І.'!$D$6:$D$18</c:f>
              <c:numCache>
                <c:ptCount val="13"/>
                <c:pt idx="0">
                  <c:v>12.489151674910666</c:v>
                </c:pt>
                <c:pt idx="1">
                  <c:v>99</c:v>
                </c:pt>
                <c:pt idx="2">
                  <c:v>162</c:v>
                </c:pt>
                <c:pt idx="3">
                  <c:v>179</c:v>
                </c:pt>
                <c:pt idx="4">
                  <c:v>166</c:v>
                </c:pt>
                <c:pt idx="5">
                  <c:v>137</c:v>
                </c:pt>
                <c:pt idx="6">
                  <c:v>101</c:v>
                </c:pt>
                <c:pt idx="7">
                  <c:v>68</c:v>
                </c:pt>
                <c:pt idx="8">
                  <c:v>41</c:v>
                </c:pt>
                <c:pt idx="9">
                  <c:v>22</c:v>
                </c:pt>
                <c:pt idx="10">
                  <c:v>10</c:v>
                </c:pt>
                <c:pt idx="11">
                  <c:v>4</c:v>
                </c:pt>
                <c:pt idx="12">
                  <c:v>1</c:v>
                </c:pt>
              </c:numCache>
            </c:numRef>
          </c:val>
          <c:smooth val="1"/>
        </c:ser>
        <c:marker val="1"/>
        <c:axId val="60499084"/>
        <c:axId val="7620845"/>
      </c:lineChart>
      <c:catAx>
        <c:axId val="604990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Возрасть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620845"/>
        <c:crosses val="autoZero"/>
        <c:auto val="1"/>
        <c:lblOffset val="100"/>
        <c:noMultiLvlLbl val="0"/>
      </c:catAx>
      <c:valAx>
        <c:axId val="76208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Число научных работников</a:t>
                </a:r>
              </a:p>
            </c:rich>
          </c:tx>
          <c:layout/>
          <c:overlay val="0"/>
          <c:spPr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499084"/>
        <c:crossesAt val="1"/>
        <c:crossBetween val="between"/>
        <c:dispUnits/>
        <c:majorUnit val="4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65"/>
          <c:y val="0.158"/>
          <c:w val="0.34725"/>
          <c:h val="0.1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31.jpeg" /><Relationship Id="rId3" Type="http://schemas.openxmlformats.org/officeDocument/2006/relationships/image" Target="../media/image32.jpeg" /><Relationship Id="rId4" Type="http://schemas.openxmlformats.org/officeDocument/2006/relationships/image" Target="../media/image33.w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Relationship Id="rId5" Type="http://schemas.openxmlformats.org/officeDocument/2006/relationships/image" Target="../media/image5.wmf" /><Relationship Id="rId6" Type="http://schemas.openxmlformats.org/officeDocument/2006/relationships/image" Target="../media/image6.wmf" /><Relationship Id="rId7" Type="http://schemas.openxmlformats.org/officeDocument/2006/relationships/image" Target="../media/image7.wmf" /><Relationship Id="rId8" Type="http://schemas.openxmlformats.org/officeDocument/2006/relationships/image" Target="../media/image8.wmf" /><Relationship Id="rId9" Type="http://schemas.openxmlformats.org/officeDocument/2006/relationships/image" Target="../media/image9.wmf" /><Relationship Id="rId10" Type="http://schemas.openxmlformats.org/officeDocument/2006/relationships/image" Target="../media/image10.emf" /><Relationship Id="rId11" Type="http://schemas.openxmlformats.org/officeDocument/2006/relationships/image" Target="../media/image11.wmf" /><Relationship Id="rId12" Type="http://schemas.openxmlformats.org/officeDocument/2006/relationships/image" Target="../media/image12.wmf" /><Relationship Id="rId13" Type="http://schemas.openxmlformats.org/officeDocument/2006/relationships/image" Target="../media/image13.wmf" /><Relationship Id="rId14" Type="http://schemas.openxmlformats.org/officeDocument/2006/relationships/image" Target="../media/image14.wmf" /><Relationship Id="rId15" Type="http://schemas.openxmlformats.org/officeDocument/2006/relationships/image" Target="../media/image15.emf" /><Relationship Id="rId16" Type="http://schemas.openxmlformats.org/officeDocument/2006/relationships/image" Target="../media/image16.wmf" /><Relationship Id="rId17" Type="http://schemas.openxmlformats.org/officeDocument/2006/relationships/image" Target="../media/image17.wmf" /><Relationship Id="rId18" Type="http://schemas.openxmlformats.org/officeDocument/2006/relationships/image" Target="../media/image18.wmf" /><Relationship Id="rId19" Type="http://schemas.openxmlformats.org/officeDocument/2006/relationships/image" Target="../media/image19.wmf" /><Relationship Id="rId20" Type="http://schemas.openxmlformats.org/officeDocument/2006/relationships/image" Target="../media/image20.wmf" /><Relationship Id="rId21" Type="http://schemas.openxmlformats.org/officeDocument/2006/relationships/image" Target="../media/image21.wmf" /><Relationship Id="rId22" Type="http://schemas.openxmlformats.org/officeDocument/2006/relationships/image" Target="../media/image22.wmf" /><Relationship Id="rId23" Type="http://schemas.openxmlformats.org/officeDocument/2006/relationships/image" Target="../media/image23.wmf" /><Relationship Id="rId24" Type="http://schemas.openxmlformats.org/officeDocument/2006/relationships/image" Target="../media/image24.wmf" /><Relationship Id="rId25" Type="http://schemas.openxmlformats.org/officeDocument/2006/relationships/image" Target="../media/image25.wmf" /><Relationship Id="rId26" Type="http://schemas.openxmlformats.org/officeDocument/2006/relationships/image" Target="../media/image26.wmf" /><Relationship Id="rId27" Type="http://schemas.openxmlformats.org/officeDocument/2006/relationships/image" Target="../media/image27.wmf" /><Relationship Id="rId28" Type="http://schemas.openxmlformats.org/officeDocument/2006/relationships/image" Target="../media/image28.wmf" /><Relationship Id="rId29" Type="http://schemas.openxmlformats.org/officeDocument/2006/relationships/image" Target="../media/image29.wmf" /><Relationship Id="rId30" Type="http://schemas.openxmlformats.org/officeDocument/2006/relationships/image" Target="../media/image29.wmf" /><Relationship Id="rId31" Type="http://schemas.openxmlformats.org/officeDocument/2006/relationships/image" Target="../media/image29.wmf" /><Relationship Id="rId32" Type="http://schemas.openxmlformats.org/officeDocument/2006/relationships/image" Target="../media/image30.wmf" /><Relationship Id="rId33" Type="http://schemas.openxmlformats.org/officeDocument/2006/relationships/image" Target="../media/image34.wmf" /><Relationship Id="rId34" Type="http://schemas.openxmlformats.org/officeDocument/2006/relationships/image" Target="../media/image35.wmf" /><Relationship Id="rId35" Type="http://schemas.openxmlformats.org/officeDocument/2006/relationships/image" Target="../media/image36.wmf" /><Relationship Id="rId36" Type="http://schemas.openxmlformats.org/officeDocument/2006/relationships/image" Target="../media/image37.wmf" /><Relationship Id="rId37" Type="http://schemas.openxmlformats.org/officeDocument/2006/relationships/image" Target="../media/image24.wmf" /><Relationship Id="rId38" Type="http://schemas.openxmlformats.org/officeDocument/2006/relationships/image" Target="../media/image38.wmf" /><Relationship Id="rId39" Type="http://schemas.openxmlformats.org/officeDocument/2006/relationships/image" Target="../media/image39.wmf" /><Relationship Id="rId40" Type="http://schemas.openxmlformats.org/officeDocument/2006/relationships/image" Target="../media/image40.emf" /><Relationship Id="rId41" Type="http://schemas.openxmlformats.org/officeDocument/2006/relationships/image" Target="../media/image41.wmf" /><Relationship Id="rId42" Type="http://schemas.openxmlformats.org/officeDocument/2006/relationships/image" Target="../media/image8.wmf" /><Relationship Id="rId43" Type="http://schemas.openxmlformats.org/officeDocument/2006/relationships/image" Target="../media/image9.wmf" /><Relationship Id="rId44" Type="http://schemas.openxmlformats.org/officeDocument/2006/relationships/image" Target="../media/image4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1</xdr:row>
      <xdr:rowOff>0</xdr:rowOff>
    </xdr:from>
    <xdr:to>
      <xdr:col>12</xdr:col>
      <xdr:colOff>447675</xdr:colOff>
      <xdr:row>29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190500"/>
          <a:ext cx="4714875" cy="463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238125</xdr:colOff>
      <xdr:row>2</xdr:row>
      <xdr:rowOff>0</xdr:rowOff>
    </xdr:from>
    <xdr:to>
      <xdr:col>41</xdr:col>
      <xdr:colOff>400050</xdr:colOff>
      <xdr:row>27</xdr:row>
      <xdr:rowOff>66675</xdr:rowOff>
    </xdr:to>
    <xdr:graphicFrame>
      <xdr:nvGraphicFramePr>
        <xdr:cNvPr id="1" name="Chart 26"/>
        <xdr:cNvGraphicFramePr/>
      </xdr:nvGraphicFramePr>
      <xdr:xfrm>
        <a:off x="20183475" y="361950"/>
        <a:ext cx="625792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4</xdr:col>
      <xdr:colOff>238125</xdr:colOff>
      <xdr:row>12</xdr:row>
      <xdr:rowOff>123825</xdr:rowOff>
    </xdr:from>
    <xdr:to>
      <xdr:col>11</xdr:col>
      <xdr:colOff>409575</xdr:colOff>
      <xdr:row>39</xdr:row>
      <xdr:rowOff>38100</xdr:rowOff>
    </xdr:to>
    <xdr:pic>
      <xdr:nvPicPr>
        <xdr:cNvPr id="2" name="Picture 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0100" y="2838450"/>
          <a:ext cx="4638675" cy="428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247650</xdr:colOff>
      <xdr:row>40</xdr:row>
      <xdr:rowOff>0</xdr:rowOff>
    </xdr:from>
    <xdr:to>
      <xdr:col>9</xdr:col>
      <xdr:colOff>619125</xdr:colOff>
      <xdr:row>88</xdr:row>
      <xdr:rowOff>28575</xdr:rowOff>
    </xdr:to>
    <xdr:pic>
      <xdr:nvPicPr>
        <xdr:cNvPr id="3" name="Picture 3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19625" y="7248525"/>
          <a:ext cx="3543300" cy="798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28575</xdr:colOff>
      <xdr:row>23</xdr:row>
      <xdr:rowOff>28575</xdr:rowOff>
    </xdr:from>
    <xdr:to>
      <xdr:col>26</xdr:col>
      <xdr:colOff>247650</xdr:colOff>
      <xdr:row>26</xdr:row>
      <xdr:rowOff>0</xdr:rowOff>
    </xdr:to>
    <xdr:pic>
      <xdr:nvPicPr>
        <xdr:cNvPr id="4" name="Picture 3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497050" y="4524375"/>
          <a:ext cx="20478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581025</xdr:colOff>
      <xdr:row>50</xdr:row>
      <xdr:rowOff>123825</xdr:rowOff>
    </xdr:from>
    <xdr:to>
      <xdr:col>26</xdr:col>
      <xdr:colOff>9525</xdr:colOff>
      <xdr:row>54</xdr:row>
      <xdr:rowOff>19050</xdr:rowOff>
    </xdr:to>
    <xdr:sp>
      <xdr:nvSpPr>
        <xdr:cNvPr id="5" name="Line 44"/>
        <xdr:cNvSpPr>
          <a:spLocks/>
        </xdr:cNvSpPr>
      </xdr:nvSpPr>
      <xdr:spPr>
        <a:xfrm flipH="1">
          <a:off x="15049500" y="9029700"/>
          <a:ext cx="125730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581025</xdr:colOff>
      <xdr:row>50</xdr:row>
      <xdr:rowOff>133350</xdr:rowOff>
    </xdr:from>
    <xdr:to>
      <xdr:col>26</xdr:col>
      <xdr:colOff>0</xdr:colOff>
      <xdr:row>57</xdr:row>
      <xdr:rowOff>19050</xdr:rowOff>
    </xdr:to>
    <xdr:sp>
      <xdr:nvSpPr>
        <xdr:cNvPr id="6" name="Line 45"/>
        <xdr:cNvSpPr>
          <a:spLocks/>
        </xdr:cNvSpPr>
      </xdr:nvSpPr>
      <xdr:spPr>
        <a:xfrm flipH="1">
          <a:off x="15049500" y="9039225"/>
          <a:ext cx="1247775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earson_Curves_I_VI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ведение"/>
      <sheetName val="Система кривых Пирсона"/>
      <sheetName val="Инструкции"/>
      <sheetName val="Тип І."/>
      <sheetName val="Тип І. Моменты"/>
      <sheetName val="Тип ІІ."/>
      <sheetName val="Тип ІІ. Xa, Моменты"/>
      <sheetName val="Тип ІІІ."/>
      <sheetName val="Тип ІII. Моменты"/>
      <sheetName val="Тип ІV."/>
      <sheetName val="Тип ІV. Моменты"/>
      <sheetName val="Тип ІV-Таблица XIV lg F(r, v)"/>
      <sheetName val="Тип V."/>
      <sheetName val="Тип V. Моменты"/>
      <sheetName val="Тип VІ."/>
      <sheetName val="Тип VІ. Xa, Моменты"/>
      <sheetName val="Тип VІІ."/>
      <sheetName val="Тип VІІ. Xa, Моменты"/>
      <sheetName val="Квантили Пирсона"/>
    </sheetNames>
    <sheetDataSet>
      <sheetData sheetId="3">
        <row r="3">
          <cell r="B3" t="str">
            <v>Частота, nj</v>
          </cell>
          <cell r="D3" t="str">
            <v>Выравнивающие частоты,</v>
          </cell>
        </row>
        <row r="4">
          <cell r="B4">
            <v>1000</v>
          </cell>
        </row>
        <row r="6">
          <cell r="A6">
            <v>20</v>
          </cell>
          <cell r="B6">
            <v>11</v>
          </cell>
          <cell r="D6">
            <v>12.489151674910666</v>
          </cell>
        </row>
        <row r="7">
          <cell r="A7">
            <v>25</v>
          </cell>
          <cell r="B7">
            <v>93</v>
          </cell>
          <cell r="D7">
            <v>99</v>
          </cell>
        </row>
        <row r="8">
          <cell r="A8">
            <v>30</v>
          </cell>
          <cell r="B8">
            <v>163</v>
          </cell>
          <cell r="D8">
            <v>162</v>
          </cell>
        </row>
        <row r="9">
          <cell r="A9">
            <v>35</v>
          </cell>
          <cell r="B9">
            <v>178</v>
          </cell>
          <cell r="D9">
            <v>179</v>
          </cell>
        </row>
        <row r="10">
          <cell r="A10">
            <v>40</v>
          </cell>
          <cell r="B10">
            <v>176</v>
          </cell>
          <cell r="D10">
            <v>166</v>
          </cell>
        </row>
        <row r="11">
          <cell r="A11">
            <v>45</v>
          </cell>
          <cell r="B11">
            <v>132</v>
          </cell>
          <cell r="D11">
            <v>137</v>
          </cell>
        </row>
        <row r="12">
          <cell r="A12">
            <v>50</v>
          </cell>
          <cell r="B12">
            <v>100</v>
          </cell>
          <cell r="D12">
            <v>101</v>
          </cell>
          <cell r="H12">
            <v>5</v>
          </cell>
        </row>
        <row r="13">
          <cell r="A13">
            <v>55</v>
          </cell>
          <cell r="B13">
            <v>67</v>
          </cell>
          <cell r="D13">
            <v>68</v>
          </cell>
        </row>
        <row r="14">
          <cell r="A14">
            <v>60</v>
          </cell>
          <cell r="B14">
            <v>40</v>
          </cell>
          <cell r="D14">
            <v>41</v>
          </cell>
        </row>
        <row r="15">
          <cell r="A15">
            <v>65</v>
          </cell>
          <cell r="B15">
            <v>24</v>
          </cell>
          <cell r="D15">
            <v>22</v>
          </cell>
        </row>
        <row r="16">
          <cell r="A16">
            <v>70</v>
          </cell>
          <cell r="B16">
            <v>12</v>
          </cell>
          <cell r="D16">
            <v>10</v>
          </cell>
        </row>
        <row r="17">
          <cell r="A17">
            <v>75</v>
          </cell>
          <cell r="B17">
            <v>3</v>
          </cell>
          <cell r="D17">
            <v>4</v>
          </cell>
        </row>
        <row r="18">
          <cell r="A18">
            <v>80</v>
          </cell>
          <cell r="B18">
            <v>1</v>
          </cell>
          <cell r="D18">
            <v>1</v>
          </cell>
        </row>
      </sheetData>
      <sheetData sheetId="4">
        <row r="5">
          <cell r="E5">
            <v>0.087</v>
          </cell>
          <cell r="F5">
            <v>4.861</v>
          </cell>
          <cell r="G5">
            <v>7.737</v>
          </cell>
          <cell r="H5">
            <v>72.385</v>
          </cell>
        </row>
        <row r="7">
          <cell r="E7">
            <v>42.935</v>
          </cell>
          <cell r="F7">
            <v>4.853431</v>
          </cell>
          <cell r="G7">
            <v>6.469596006000001</v>
          </cell>
          <cell r="H7">
            <v>69.913109584717</v>
          </cell>
        </row>
        <row r="9">
          <cell r="E9">
            <v>2.2030503852613084</v>
          </cell>
          <cell r="F9">
            <v>0.6050675641921125</v>
          </cell>
          <cell r="G9">
            <v>0.3661067572373762</v>
          </cell>
          <cell r="H9">
            <v>2.967979517926633</v>
          </cell>
        </row>
      </sheetData>
      <sheetData sheetId="18">
        <row r="12">
          <cell r="B12">
            <v>0</v>
          </cell>
          <cell r="C12">
            <v>0.01</v>
          </cell>
          <cell r="D12">
            <v>0.03</v>
          </cell>
          <cell r="E12">
            <v>0.05</v>
          </cell>
          <cell r="F12">
            <v>0.1</v>
          </cell>
          <cell r="G12">
            <v>0.15</v>
          </cell>
          <cell r="H12">
            <v>0.2</v>
          </cell>
          <cell r="I12">
            <v>0.3</v>
          </cell>
          <cell r="J12">
            <v>0.4</v>
          </cell>
          <cell r="K12">
            <v>0.5</v>
          </cell>
          <cell r="L12">
            <v>0.6</v>
          </cell>
          <cell r="M12">
            <v>0.7</v>
          </cell>
          <cell r="N12">
            <v>0.8</v>
          </cell>
          <cell r="O12">
            <v>0.9</v>
          </cell>
          <cell r="P12">
            <v>1</v>
          </cell>
        </row>
        <row r="14">
          <cell r="A14">
            <v>1.8</v>
          </cell>
        </row>
        <row r="15">
          <cell r="A15">
            <v>2</v>
          </cell>
        </row>
        <row r="16">
          <cell r="A16">
            <v>2.2</v>
          </cell>
        </row>
        <row r="17">
          <cell r="A17">
            <v>2.4</v>
          </cell>
        </row>
        <row r="18">
          <cell r="A18">
            <v>2.6</v>
          </cell>
        </row>
        <row r="19">
          <cell r="A19">
            <v>2.8</v>
          </cell>
        </row>
        <row r="20">
          <cell r="A20">
            <v>3</v>
          </cell>
        </row>
        <row r="21">
          <cell r="A21">
            <v>3.2</v>
          </cell>
        </row>
        <row r="22">
          <cell r="A22">
            <v>3.4</v>
          </cell>
        </row>
        <row r="23">
          <cell r="A23">
            <v>3.6</v>
          </cell>
        </row>
        <row r="24">
          <cell r="A24">
            <v>3.8</v>
          </cell>
        </row>
        <row r="25">
          <cell r="A25">
            <v>4</v>
          </cell>
        </row>
        <row r="26">
          <cell r="A26">
            <v>4.2</v>
          </cell>
        </row>
        <row r="27">
          <cell r="A27">
            <v>4.4</v>
          </cell>
        </row>
        <row r="28">
          <cell r="A28">
            <v>4.6</v>
          </cell>
        </row>
        <row r="29">
          <cell r="A29">
            <v>4.8</v>
          </cell>
        </row>
        <row r="30">
          <cell r="A30">
            <v>5</v>
          </cell>
        </row>
        <row r="34">
          <cell r="B34">
            <v>0</v>
          </cell>
          <cell r="C34">
            <v>0.01</v>
          </cell>
          <cell r="D34">
            <v>0.03</v>
          </cell>
          <cell r="E34">
            <v>0.05</v>
          </cell>
          <cell r="F34">
            <v>0.1</v>
          </cell>
          <cell r="G34">
            <v>0.15</v>
          </cell>
          <cell r="H34">
            <v>0.2</v>
          </cell>
          <cell r="I34">
            <v>0.3</v>
          </cell>
          <cell r="J34">
            <v>0.4</v>
          </cell>
          <cell r="K34">
            <v>0.5</v>
          </cell>
          <cell r="L34">
            <v>0.6</v>
          </cell>
          <cell r="M34">
            <v>0.7</v>
          </cell>
          <cell r="N34">
            <v>0.8</v>
          </cell>
          <cell r="O34">
            <v>0.9</v>
          </cell>
          <cell r="P34">
            <v>1</v>
          </cell>
        </row>
        <row r="36">
          <cell r="A36">
            <v>1.8</v>
          </cell>
          <cell r="B36">
            <v>1.56</v>
          </cell>
        </row>
        <row r="37">
          <cell r="A37">
            <v>2</v>
          </cell>
          <cell r="B37">
            <v>1.61</v>
          </cell>
          <cell r="C37">
            <v>1.66</v>
          </cell>
          <cell r="D37">
            <v>1.7</v>
          </cell>
          <cell r="E37">
            <v>1.72</v>
          </cell>
        </row>
        <row r="38">
          <cell r="A38">
            <v>2.2</v>
          </cell>
          <cell r="B38">
            <v>1.64</v>
          </cell>
          <cell r="C38">
            <v>1.68</v>
          </cell>
          <cell r="D38">
            <v>1.71</v>
          </cell>
          <cell r="E38">
            <v>1.74</v>
          </cell>
          <cell r="F38">
            <v>1.77</v>
          </cell>
          <cell r="G38">
            <v>1.8</v>
          </cell>
          <cell r="H38">
            <v>1.83</v>
          </cell>
        </row>
        <row r="39">
          <cell r="A39">
            <v>2.4</v>
          </cell>
          <cell r="B39">
            <v>1.65</v>
          </cell>
          <cell r="C39">
            <v>1.69</v>
          </cell>
          <cell r="D39">
            <v>1.71</v>
          </cell>
          <cell r="E39">
            <v>1.74</v>
          </cell>
          <cell r="F39">
            <v>1.77</v>
          </cell>
          <cell r="G39">
            <v>1.8</v>
          </cell>
          <cell r="H39">
            <v>1.83</v>
          </cell>
          <cell r="I39">
            <v>1.87</v>
          </cell>
        </row>
        <row r="40">
          <cell r="A40">
            <v>2.6</v>
          </cell>
          <cell r="B40">
            <v>1.65</v>
          </cell>
          <cell r="C40">
            <v>1.68</v>
          </cell>
          <cell r="D40">
            <v>1.71</v>
          </cell>
          <cell r="E40">
            <v>1.73</v>
          </cell>
          <cell r="F40">
            <v>1.76</v>
          </cell>
          <cell r="G40">
            <v>1.79</v>
          </cell>
          <cell r="H40">
            <v>1.81</v>
          </cell>
          <cell r="I40">
            <v>1.86</v>
          </cell>
          <cell r="J40">
            <v>1.9</v>
          </cell>
        </row>
        <row r="41">
          <cell r="A41">
            <v>2.8</v>
          </cell>
          <cell r="B41">
            <v>1.65</v>
          </cell>
          <cell r="C41">
            <v>1.68</v>
          </cell>
          <cell r="D41">
            <v>1.7</v>
          </cell>
          <cell r="E41">
            <v>1.72</v>
          </cell>
          <cell r="F41">
            <v>1.75</v>
          </cell>
          <cell r="G41">
            <v>1.77</v>
          </cell>
          <cell r="H41">
            <v>1.8</v>
          </cell>
          <cell r="I41">
            <v>1.84</v>
          </cell>
          <cell r="J41">
            <v>1.88</v>
          </cell>
          <cell r="K41">
            <v>1.92</v>
          </cell>
        </row>
        <row r="42">
          <cell r="A42">
            <v>3</v>
          </cell>
          <cell r="B42">
            <v>1.64</v>
          </cell>
          <cell r="C42">
            <v>1.67</v>
          </cell>
          <cell r="D42">
            <v>1.69</v>
          </cell>
          <cell r="E42">
            <v>1.71</v>
          </cell>
          <cell r="F42">
            <v>1.74</v>
          </cell>
          <cell r="G42">
            <v>1.76</v>
          </cell>
          <cell r="H42">
            <v>1.78</v>
          </cell>
          <cell r="I42">
            <v>1.82</v>
          </cell>
          <cell r="J42">
            <v>1.86</v>
          </cell>
          <cell r="K42">
            <v>1.9</v>
          </cell>
          <cell r="L42">
            <v>1.93</v>
          </cell>
        </row>
        <row r="43">
          <cell r="A43">
            <v>3.2</v>
          </cell>
          <cell r="B43">
            <v>1.64</v>
          </cell>
          <cell r="C43">
            <v>1.67</v>
          </cell>
          <cell r="D43">
            <v>1.69</v>
          </cell>
          <cell r="E43">
            <v>1.7</v>
          </cell>
          <cell r="F43">
            <v>1.73</v>
          </cell>
          <cell r="G43">
            <v>1.75</v>
          </cell>
          <cell r="H43">
            <v>1.77</v>
          </cell>
          <cell r="I43">
            <v>1.8</v>
          </cell>
          <cell r="J43">
            <v>1.84</v>
          </cell>
          <cell r="K43">
            <v>1.87</v>
          </cell>
          <cell r="L43">
            <v>1.91</v>
          </cell>
          <cell r="M43">
            <v>1.94</v>
          </cell>
          <cell r="N43">
            <v>1.98</v>
          </cell>
        </row>
        <row r="44">
          <cell r="A44">
            <v>3.4</v>
          </cell>
          <cell r="B44">
            <v>1.64</v>
          </cell>
          <cell r="C44">
            <v>1.66</v>
          </cell>
          <cell r="D44">
            <v>1.68</v>
          </cell>
          <cell r="E44">
            <v>1.69</v>
          </cell>
          <cell r="F44">
            <v>1.72</v>
          </cell>
          <cell r="G44">
            <v>1.74</v>
          </cell>
          <cell r="H44">
            <v>1.76</v>
          </cell>
          <cell r="I44">
            <v>1.79</v>
          </cell>
          <cell r="J44">
            <v>1.82</v>
          </cell>
          <cell r="K44">
            <v>1.85</v>
          </cell>
          <cell r="L44">
            <v>1.88</v>
          </cell>
          <cell r="M44">
            <v>1.92</v>
          </cell>
          <cell r="N44">
            <v>1.95</v>
          </cell>
          <cell r="O44">
            <v>1.98</v>
          </cell>
        </row>
        <row r="45">
          <cell r="A45">
            <v>3.6</v>
          </cell>
          <cell r="B45">
            <v>1.63</v>
          </cell>
          <cell r="C45">
            <v>1.65</v>
          </cell>
          <cell r="D45">
            <v>1.67</v>
          </cell>
          <cell r="E45">
            <v>1.68</v>
          </cell>
          <cell r="F45">
            <v>1.71</v>
          </cell>
          <cell r="G45">
            <v>1.63</v>
          </cell>
          <cell r="H45">
            <v>1.74</v>
          </cell>
          <cell r="I45">
            <v>1.77</v>
          </cell>
          <cell r="J45">
            <v>1.8</v>
          </cell>
          <cell r="K45">
            <v>1.83</v>
          </cell>
          <cell r="L45">
            <v>1.86</v>
          </cell>
          <cell r="M45">
            <v>1.89</v>
          </cell>
          <cell r="N45">
            <v>1.92</v>
          </cell>
          <cell r="O45">
            <v>1.95</v>
          </cell>
          <cell r="P45">
            <v>1.98</v>
          </cell>
        </row>
        <row r="46">
          <cell r="A46">
            <v>3.8</v>
          </cell>
          <cell r="B46">
            <v>1.63</v>
          </cell>
          <cell r="C46">
            <v>1.65</v>
          </cell>
          <cell r="D46">
            <v>1.66</v>
          </cell>
          <cell r="E46">
            <v>1.68</v>
          </cell>
          <cell r="F46">
            <v>1.7</v>
          </cell>
          <cell r="G46">
            <v>1.72</v>
          </cell>
          <cell r="H46">
            <v>1.73</v>
          </cell>
          <cell r="I46">
            <v>1.76</v>
          </cell>
          <cell r="J46">
            <v>1.79</v>
          </cell>
          <cell r="K46">
            <v>1.82</v>
          </cell>
          <cell r="L46">
            <v>1.84</v>
          </cell>
          <cell r="M46">
            <v>1.87</v>
          </cell>
          <cell r="N46">
            <v>1.9</v>
          </cell>
          <cell r="O46">
            <v>1.93</v>
          </cell>
          <cell r="P46">
            <v>1.96</v>
          </cell>
        </row>
        <row r="47">
          <cell r="A47">
            <v>4</v>
          </cell>
          <cell r="B47">
            <v>1.62</v>
          </cell>
          <cell r="C47">
            <v>1.64</v>
          </cell>
          <cell r="D47">
            <v>1.66</v>
          </cell>
          <cell r="E47">
            <v>1.67</v>
          </cell>
          <cell r="F47">
            <v>1.69</v>
          </cell>
          <cell r="G47">
            <v>1.71</v>
          </cell>
          <cell r="H47">
            <v>1.72</v>
          </cell>
          <cell r="I47">
            <v>1.75</v>
          </cell>
          <cell r="J47">
            <v>1.78</v>
          </cell>
          <cell r="K47">
            <v>1.8</v>
          </cell>
          <cell r="L47">
            <v>1.83</v>
          </cell>
          <cell r="M47">
            <v>1.85</v>
          </cell>
          <cell r="N47">
            <v>1.88</v>
          </cell>
          <cell r="O47">
            <v>1.9</v>
          </cell>
          <cell r="P47">
            <v>1.93</v>
          </cell>
        </row>
        <row r="48">
          <cell r="A48">
            <v>4.2</v>
          </cell>
          <cell r="B48">
            <v>1.62</v>
          </cell>
          <cell r="C48">
            <v>1.64</v>
          </cell>
          <cell r="D48">
            <v>1.65</v>
          </cell>
          <cell r="E48">
            <v>1.66</v>
          </cell>
          <cell r="F48">
            <v>1.68</v>
          </cell>
          <cell r="G48">
            <v>1.7</v>
          </cell>
          <cell r="H48">
            <v>1.71</v>
          </cell>
          <cell r="I48">
            <v>1.74</v>
          </cell>
          <cell r="J48">
            <v>1.76</v>
          </cell>
          <cell r="K48">
            <v>1.79</v>
          </cell>
          <cell r="L48">
            <v>1.81</v>
          </cell>
          <cell r="M48">
            <v>1.83</v>
          </cell>
          <cell r="N48">
            <v>1.86</v>
          </cell>
          <cell r="O48">
            <v>1.88</v>
          </cell>
          <cell r="P48">
            <v>1.91</v>
          </cell>
        </row>
        <row r="49">
          <cell r="A49">
            <v>4.4</v>
          </cell>
          <cell r="B49">
            <v>1.62</v>
          </cell>
          <cell r="C49">
            <v>1.63</v>
          </cell>
          <cell r="D49">
            <v>1.65</v>
          </cell>
          <cell r="E49">
            <v>1.66</v>
          </cell>
          <cell r="F49">
            <v>1.68</v>
          </cell>
          <cell r="G49">
            <v>1.69</v>
          </cell>
          <cell r="H49">
            <v>1.7</v>
          </cell>
          <cell r="I49">
            <v>1.73</v>
          </cell>
          <cell r="J49">
            <v>1.75</v>
          </cell>
          <cell r="K49">
            <v>1.78</v>
          </cell>
          <cell r="L49">
            <v>1.8</v>
          </cell>
          <cell r="M49">
            <v>1.82</v>
          </cell>
          <cell r="N49">
            <v>1.84</v>
          </cell>
          <cell r="O49">
            <v>1.86</v>
          </cell>
          <cell r="P49">
            <v>1.89</v>
          </cell>
        </row>
        <row r="50">
          <cell r="A50">
            <v>4.6</v>
          </cell>
          <cell r="B50">
            <v>1.61</v>
          </cell>
          <cell r="C50">
            <v>1.63</v>
          </cell>
          <cell r="D50">
            <v>1.64</v>
          </cell>
          <cell r="E50">
            <v>1.65</v>
          </cell>
          <cell r="F50">
            <v>1.67</v>
          </cell>
          <cell r="G50">
            <v>1.68</v>
          </cell>
          <cell r="H50">
            <v>1.7</v>
          </cell>
          <cell r="I50">
            <v>1.72</v>
          </cell>
          <cell r="J50">
            <v>1.74</v>
          </cell>
          <cell r="K50">
            <v>1.76</v>
          </cell>
          <cell r="L50">
            <v>1.78</v>
          </cell>
          <cell r="M50">
            <v>1.8</v>
          </cell>
          <cell r="N50">
            <v>1.82</v>
          </cell>
          <cell r="O50">
            <v>1.84</v>
          </cell>
          <cell r="P50">
            <v>1.85</v>
          </cell>
        </row>
        <row r="51">
          <cell r="A51">
            <v>4.8</v>
          </cell>
          <cell r="B51">
            <v>1.61</v>
          </cell>
          <cell r="C51">
            <v>1.62</v>
          </cell>
          <cell r="D51">
            <v>1.64</v>
          </cell>
          <cell r="E51">
            <v>1.65</v>
          </cell>
          <cell r="F51">
            <v>1.66</v>
          </cell>
          <cell r="G51">
            <v>1.68</v>
          </cell>
          <cell r="H51">
            <v>1.69</v>
          </cell>
          <cell r="I51">
            <v>1.71</v>
          </cell>
          <cell r="J51">
            <v>1.73</v>
          </cell>
          <cell r="K51">
            <v>1.75</v>
          </cell>
          <cell r="L51">
            <v>1.77</v>
          </cell>
          <cell r="M51">
            <v>1.79</v>
          </cell>
          <cell r="N51">
            <v>1.81</v>
          </cell>
          <cell r="O51">
            <v>1.83</v>
          </cell>
          <cell r="P51">
            <v>1.85</v>
          </cell>
        </row>
        <row r="52">
          <cell r="A52">
            <v>5</v>
          </cell>
          <cell r="B52">
            <v>1.6</v>
          </cell>
          <cell r="C52">
            <v>1.62</v>
          </cell>
          <cell r="D52">
            <v>1.63</v>
          </cell>
          <cell r="E52">
            <v>1.64</v>
          </cell>
          <cell r="F52">
            <v>1.66</v>
          </cell>
          <cell r="G52">
            <v>1.67</v>
          </cell>
          <cell r="H52">
            <v>1.68</v>
          </cell>
          <cell r="I52">
            <v>1.71</v>
          </cell>
          <cell r="J52">
            <v>1.73</v>
          </cell>
          <cell r="K52">
            <v>1.74</v>
          </cell>
          <cell r="L52">
            <v>1.76</v>
          </cell>
          <cell r="M52">
            <v>1.78</v>
          </cell>
          <cell r="N52">
            <v>1.8</v>
          </cell>
          <cell r="O52">
            <v>1.82</v>
          </cell>
          <cell r="P52">
            <v>1.84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oleObject" Target="../embeddings/oleObject_2_0.bin" /><Relationship Id="rId3" Type="http://schemas.openxmlformats.org/officeDocument/2006/relationships/oleObject" Target="../embeddings/oleObject_2_1.bin" /><Relationship Id="rId4" Type="http://schemas.openxmlformats.org/officeDocument/2006/relationships/oleObject" Target="../embeddings/oleObject_2_2.bin" /><Relationship Id="rId5" Type="http://schemas.openxmlformats.org/officeDocument/2006/relationships/oleObject" Target="../embeddings/oleObject_2_3.bin" /><Relationship Id="rId6" Type="http://schemas.openxmlformats.org/officeDocument/2006/relationships/oleObject" Target="../embeddings/oleObject_2_4.bin" /><Relationship Id="rId7" Type="http://schemas.openxmlformats.org/officeDocument/2006/relationships/oleObject" Target="../embeddings/oleObject_2_5.bin" /><Relationship Id="rId8" Type="http://schemas.openxmlformats.org/officeDocument/2006/relationships/oleObject" Target="../embeddings/oleObject_2_6.bin" /><Relationship Id="rId9" Type="http://schemas.openxmlformats.org/officeDocument/2006/relationships/oleObject" Target="../embeddings/oleObject_2_7.bin" /><Relationship Id="rId10" Type="http://schemas.openxmlformats.org/officeDocument/2006/relationships/oleObject" Target="../embeddings/oleObject_2_8.bin" /><Relationship Id="rId11" Type="http://schemas.openxmlformats.org/officeDocument/2006/relationships/oleObject" Target="../embeddings/oleObject_2_9.bin" /><Relationship Id="rId12" Type="http://schemas.openxmlformats.org/officeDocument/2006/relationships/oleObject" Target="../embeddings/oleObject_2_10.bin" /><Relationship Id="rId13" Type="http://schemas.openxmlformats.org/officeDocument/2006/relationships/oleObject" Target="../embeddings/oleObject_2_11.bin" /><Relationship Id="rId14" Type="http://schemas.openxmlformats.org/officeDocument/2006/relationships/oleObject" Target="../embeddings/oleObject_2_12.bin" /><Relationship Id="rId15" Type="http://schemas.openxmlformats.org/officeDocument/2006/relationships/oleObject" Target="../embeddings/oleObject_2_13.bin" /><Relationship Id="rId16" Type="http://schemas.openxmlformats.org/officeDocument/2006/relationships/oleObject" Target="../embeddings/oleObject_2_14.bin" /><Relationship Id="rId17" Type="http://schemas.openxmlformats.org/officeDocument/2006/relationships/oleObject" Target="../embeddings/oleObject_2_15.bin" /><Relationship Id="rId18" Type="http://schemas.openxmlformats.org/officeDocument/2006/relationships/oleObject" Target="../embeddings/oleObject_2_16.bin" /><Relationship Id="rId19" Type="http://schemas.openxmlformats.org/officeDocument/2006/relationships/oleObject" Target="../embeddings/oleObject_2_17.bin" /><Relationship Id="rId20" Type="http://schemas.openxmlformats.org/officeDocument/2006/relationships/oleObject" Target="../embeddings/oleObject_2_18.bin" /><Relationship Id="rId21" Type="http://schemas.openxmlformats.org/officeDocument/2006/relationships/oleObject" Target="../embeddings/oleObject_2_19.bin" /><Relationship Id="rId22" Type="http://schemas.openxmlformats.org/officeDocument/2006/relationships/oleObject" Target="../embeddings/oleObject_2_20.bin" /><Relationship Id="rId23" Type="http://schemas.openxmlformats.org/officeDocument/2006/relationships/oleObject" Target="../embeddings/oleObject_2_21.bin" /><Relationship Id="rId24" Type="http://schemas.openxmlformats.org/officeDocument/2006/relationships/oleObject" Target="../embeddings/oleObject_2_22.bin" /><Relationship Id="rId25" Type="http://schemas.openxmlformats.org/officeDocument/2006/relationships/oleObject" Target="../embeddings/oleObject_2_23.bin" /><Relationship Id="rId26" Type="http://schemas.openxmlformats.org/officeDocument/2006/relationships/oleObject" Target="../embeddings/oleObject_2_24.bin" /><Relationship Id="rId27" Type="http://schemas.openxmlformats.org/officeDocument/2006/relationships/oleObject" Target="../embeddings/oleObject_2_25.bin" /><Relationship Id="rId28" Type="http://schemas.openxmlformats.org/officeDocument/2006/relationships/oleObject" Target="../embeddings/oleObject_2_26.bin" /><Relationship Id="rId29" Type="http://schemas.openxmlformats.org/officeDocument/2006/relationships/oleObject" Target="../embeddings/oleObject_2_27.bin" /><Relationship Id="rId30" Type="http://schemas.openxmlformats.org/officeDocument/2006/relationships/oleObject" Target="../embeddings/oleObject_2_28.bin" /><Relationship Id="rId31" Type="http://schemas.openxmlformats.org/officeDocument/2006/relationships/oleObject" Target="../embeddings/oleObject_2_29.bin" /><Relationship Id="rId32" Type="http://schemas.openxmlformats.org/officeDocument/2006/relationships/oleObject" Target="../embeddings/oleObject_2_30.bin" /><Relationship Id="rId33" Type="http://schemas.openxmlformats.org/officeDocument/2006/relationships/oleObject" Target="../embeddings/oleObject_2_31.bin" /><Relationship Id="rId34" Type="http://schemas.openxmlformats.org/officeDocument/2006/relationships/oleObject" Target="../embeddings/oleObject_2_32.bin" /><Relationship Id="rId35" Type="http://schemas.openxmlformats.org/officeDocument/2006/relationships/oleObject" Target="../embeddings/oleObject_2_33.bin" /><Relationship Id="rId36" Type="http://schemas.openxmlformats.org/officeDocument/2006/relationships/oleObject" Target="../embeddings/oleObject_2_34.bin" /><Relationship Id="rId37" Type="http://schemas.openxmlformats.org/officeDocument/2006/relationships/oleObject" Target="../embeddings/oleObject_2_35.bin" /><Relationship Id="rId38" Type="http://schemas.openxmlformats.org/officeDocument/2006/relationships/oleObject" Target="../embeddings/oleObject_2_36.bin" /><Relationship Id="rId39" Type="http://schemas.openxmlformats.org/officeDocument/2006/relationships/oleObject" Target="../embeddings/oleObject_2_37.bin" /><Relationship Id="rId40" Type="http://schemas.openxmlformats.org/officeDocument/2006/relationships/oleObject" Target="../embeddings/oleObject_2_38.bin" /><Relationship Id="rId41" Type="http://schemas.openxmlformats.org/officeDocument/2006/relationships/oleObject" Target="../embeddings/oleObject_2_39.bin" /><Relationship Id="rId42" Type="http://schemas.openxmlformats.org/officeDocument/2006/relationships/oleObject" Target="../embeddings/oleObject_2_40.bin" /><Relationship Id="rId43" Type="http://schemas.openxmlformats.org/officeDocument/2006/relationships/oleObject" Target="../embeddings/oleObject_2_41.bin" /><Relationship Id="rId44" Type="http://schemas.openxmlformats.org/officeDocument/2006/relationships/oleObject" Target="../embeddings/oleObject_2_42.bin" /><Relationship Id="rId45" Type="http://schemas.openxmlformats.org/officeDocument/2006/relationships/oleObject" Target="../embeddings/oleObject_2_43.bin" /><Relationship Id="rId46" Type="http://schemas.openxmlformats.org/officeDocument/2006/relationships/vmlDrawing" Target="../drawings/vmlDrawing2.vml" /><Relationship Id="rId47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4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</cols>
  <sheetData>
    <row r="1" spans="6:13" ht="15">
      <c r="F1" s="130" t="s">
        <v>87</v>
      </c>
      <c r="G1" s="131"/>
      <c r="H1" s="131"/>
      <c r="I1" s="131"/>
      <c r="J1" s="131"/>
      <c r="K1" s="131"/>
      <c r="L1" s="131"/>
      <c r="M1" s="131"/>
    </row>
    <row r="28" ht="12.75">
      <c r="M28" s="132"/>
    </row>
    <row r="31" ht="15.75">
      <c r="G31" t="s">
        <v>88</v>
      </c>
    </row>
    <row r="32" ht="15.75">
      <c r="G32" t="s">
        <v>89</v>
      </c>
    </row>
    <row r="33" ht="12.75">
      <c r="G33" t="s">
        <v>90</v>
      </c>
    </row>
    <row r="34" ht="13.5" thickBot="1"/>
    <row r="35" spans="2:16" ht="12.75">
      <c r="B35" s="133" t="s">
        <v>39</v>
      </c>
      <c r="C35" s="134" t="s">
        <v>44</v>
      </c>
      <c r="D35" s="135"/>
      <c r="E35" s="136" t="s">
        <v>42</v>
      </c>
      <c r="F35" s="136"/>
      <c r="G35" s="137"/>
      <c r="H35" s="138" t="s">
        <v>38</v>
      </c>
      <c r="I35" s="139"/>
      <c r="J35" s="139"/>
      <c r="K35" s="139"/>
      <c r="L35" s="139"/>
      <c r="M35" s="139"/>
      <c r="N35" s="139"/>
      <c r="O35" s="139"/>
      <c r="P35" s="140"/>
    </row>
    <row r="36" spans="2:16" ht="12.75">
      <c r="B36" s="141" t="s">
        <v>30</v>
      </c>
      <c r="C36" s="142" t="s">
        <v>45</v>
      </c>
      <c r="D36" s="143"/>
      <c r="E36" s="144"/>
      <c r="F36" s="145"/>
      <c r="G36" s="10"/>
      <c r="H36" s="146" t="s">
        <v>91</v>
      </c>
      <c r="I36" s="147"/>
      <c r="J36" s="147"/>
      <c r="K36" s="147"/>
      <c r="L36" s="147"/>
      <c r="M36" s="147"/>
      <c r="N36" s="147"/>
      <c r="O36" s="147"/>
      <c r="P36" s="148"/>
    </row>
    <row r="37" spans="2:16" ht="12.75">
      <c r="B37" s="141" t="s">
        <v>31</v>
      </c>
      <c r="C37" s="149"/>
      <c r="D37" s="150"/>
      <c r="E37" s="144"/>
      <c r="F37" s="145"/>
      <c r="G37" s="10"/>
      <c r="H37" s="151" t="s">
        <v>92</v>
      </c>
      <c r="I37" s="147"/>
      <c r="J37" s="147"/>
      <c r="K37" s="147"/>
      <c r="L37" s="147"/>
      <c r="M37" s="147"/>
      <c r="N37" s="147"/>
      <c r="O37" s="147"/>
      <c r="P37" s="148"/>
    </row>
    <row r="38" spans="2:16" ht="12.75">
      <c r="B38" s="141" t="s">
        <v>32</v>
      </c>
      <c r="C38" s="149" t="s">
        <v>48</v>
      </c>
      <c r="D38" s="150"/>
      <c r="E38" s="144"/>
      <c r="F38" s="145"/>
      <c r="G38" s="10"/>
      <c r="H38" s="151" t="s">
        <v>93</v>
      </c>
      <c r="I38" s="147"/>
      <c r="J38" s="147"/>
      <c r="K38" s="147"/>
      <c r="L38" s="147"/>
      <c r="M38" s="147"/>
      <c r="N38" s="147"/>
      <c r="O38" s="147"/>
      <c r="P38" s="148"/>
    </row>
    <row r="39" spans="2:16" ht="12.75">
      <c r="B39" s="141" t="s">
        <v>33</v>
      </c>
      <c r="C39" s="149"/>
      <c r="D39" s="150"/>
      <c r="E39" s="144"/>
      <c r="F39" s="145"/>
      <c r="G39" s="10"/>
      <c r="H39" s="151" t="s">
        <v>37</v>
      </c>
      <c r="I39" s="147"/>
      <c r="J39" s="147"/>
      <c r="K39" s="147"/>
      <c r="L39" s="147"/>
      <c r="M39" s="147"/>
      <c r="N39" s="147"/>
      <c r="O39" s="147"/>
      <c r="P39" s="148"/>
    </row>
    <row r="40" spans="2:16" ht="12.75">
      <c r="B40" s="141" t="s">
        <v>34</v>
      </c>
      <c r="C40" s="149" t="s">
        <v>43</v>
      </c>
      <c r="D40" s="150"/>
      <c r="E40" s="144"/>
      <c r="F40" s="145"/>
      <c r="G40" s="10"/>
      <c r="H40" s="151" t="s">
        <v>40</v>
      </c>
      <c r="I40" s="147"/>
      <c r="J40" s="147"/>
      <c r="K40" s="147"/>
      <c r="L40" s="147"/>
      <c r="M40" s="147"/>
      <c r="N40" s="147"/>
      <c r="O40" s="147"/>
      <c r="P40" s="148"/>
    </row>
    <row r="41" spans="2:16" ht="12.75">
      <c r="B41" s="141" t="s">
        <v>35</v>
      </c>
      <c r="C41" s="142" t="s">
        <v>47</v>
      </c>
      <c r="D41" s="143"/>
      <c r="E41" s="144"/>
      <c r="F41" s="145"/>
      <c r="G41" s="10"/>
      <c r="H41" s="151" t="s">
        <v>94</v>
      </c>
      <c r="I41" s="147"/>
      <c r="J41" s="147"/>
      <c r="K41" s="147"/>
      <c r="L41" s="147"/>
      <c r="M41" s="147"/>
      <c r="N41" s="147"/>
      <c r="O41" s="147"/>
      <c r="P41" s="148"/>
    </row>
    <row r="42" spans="2:16" ht="13.5" thickBot="1">
      <c r="B42" s="152" t="s">
        <v>36</v>
      </c>
      <c r="C42" s="153" t="s">
        <v>46</v>
      </c>
      <c r="D42" s="154"/>
      <c r="E42" s="155"/>
      <c r="F42" s="125"/>
      <c r="G42" s="156"/>
      <c r="H42" s="157" t="s">
        <v>41</v>
      </c>
      <c r="I42" s="158"/>
      <c r="J42" s="158"/>
      <c r="K42" s="158"/>
      <c r="L42" s="158"/>
      <c r="M42" s="158"/>
      <c r="N42" s="158"/>
      <c r="O42" s="158"/>
      <c r="P42" s="159"/>
    </row>
  </sheetData>
  <sheetProtection password="D73E" sheet="1" objects="1" scenarios="1"/>
  <mergeCells count="10">
    <mergeCell ref="C40:D40"/>
    <mergeCell ref="C41:D41"/>
    <mergeCell ref="C36:D36"/>
    <mergeCell ref="C37:D37"/>
    <mergeCell ref="C38:D38"/>
    <mergeCell ref="C39:D39"/>
    <mergeCell ref="F1:M1"/>
    <mergeCell ref="C35:D35"/>
    <mergeCell ref="E35:G35"/>
    <mergeCell ref="H35:P35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D25"/>
  <sheetViews>
    <sheetView workbookViewId="0" topLeftCell="A1">
      <selection activeCell="A1" sqref="A1"/>
    </sheetView>
  </sheetViews>
  <sheetFormatPr defaultColWidth="9.140625" defaultRowHeight="12.75"/>
  <cols>
    <col min="1" max="1" width="9.421875" style="0" customWidth="1"/>
    <col min="2" max="2" width="12.8515625" style="0" customWidth="1"/>
    <col min="3" max="3" width="19.7109375" style="0" customWidth="1"/>
    <col min="4" max="4" width="23.421875" style="0" customWidth="1"/>
  </cols>
  <sheetData>
    <row r="7" ht="12.75">
      <c r="A7" s="121" t="s">
        <v>83</v>
      </c>
    </row>
    <row r="8" ht="12.75">
      <c r="A8" s="122" t="s">
        <v>84</v>
      </c>
    </row>
    <row r="10" ht="13.5" thickBot="1">
      <c r="A10" t="s">
        <v>61</v>
      </c>
    </row>
    <row r="11" spans="1:4" ht="63.75" customHeight="1">
      <c r="A11" s="123" t="s">
        <v>85</v>
      </c>
      <c r="B11" s="14" t="s">
        <v>66</v>
      </c>
      <c r="C11" s="15" t="s">
        <v>23</v>
      </c>
      <c r="D11" s="16" t="s">
        <v>5</v>
      </c>
    </row>
    <row r="12" spans="1:4" ht="13.5" thickBot="1">
      <c r="A12" s="124" t="s">
        <v>0</v>
      </c>
      <c r="B12" s="22">
        <v>100</v>
      </c>
      <c r="C12" s="125"/>
      <c r="D12" s="126">
        <v>98.96045041133983</v>
      </c>
    </row>
    <row r="13" spans="1:4" ht="12.75">
      <c r="A13" s="127" t="s">
        <v>1</v>
      </c>
      <c r="B13" s="127" t="s">
        <v>2</v>
      </c>
      <c r="C13" s="127" t="s">
        <v>3</v>
      </c>
      <c r="D13" s="127" t="s">
        <v>4</v>
      </c>
    </row>
    <row r="14" spans="1:4" ht="12.75">
      <c r="A14" s="43">
        <v>1.5</v>
      </c>
      <c r="B14" s="43">
        <v>24</v>
      </c>
      <c r="C14" s="128">
        <v>-0.44841601225818817</v>
      </c>
      <c r="D14" s="129">
        <v>25.0332097863068</v>
      </c>
    </row>
    <row r="15" spans="1:4" ht="12.75">
      <c r="A15" s="43">
        <v>3.5</v>
      </c>
      <c r="B15" s="43">
        <v>34</v>
      </c>
      <c r="C15" s="128">
        <v>0.5515839877418118</v>
      </c>
      <c r="D15" s="129">
        <v>33.651046002088684</v>
      </c>
    </row>
    <row r="16" spans="1:4" ht="12.75">
      <c r="A16" s="43">
        <v>5.5</v>
      </c>
      <c r="B16" s="43">
        <v>23</v>
      </c>
      <c r="C16" s="128">
        <v>1.5515839877418118</v>
      </c>
      <c r="D16" s="129">
        <v>20.322502291030798</v>
      </c>
    </row>
    <row r="17" spans="1:4" ht="12.75">
      <c r="A17" s="43">
        <v>7.5</v>
      </c>
      <c r="B17" s="43">
        <v>10</v>
      </c>
      <c r="C17" s="128">
        <v>2.551583987741812</v>
      </c>
      <c r="D17" s="129">
        <v>10.593971401279635</v>
      </c>
    </row>
    <row r="18" spans="1:4" ht="12.75">
      <c r="A18" s="43">
        <v>9.5</v>
      </c>
      <c r="B18" s="43">
        <v>5</v>
      </c>
      <c r="C18" s="128">
        <v>3.551583987741812</v>
      </c>
      <c r="D18" s="129">
        <v>5.153124972109571</v>
      </c>
    </row>
    <row r="19" spans="1:4" ht="12.75">
      <c r="A19" s="43">
        <v>11.5</v>
      </c>
      <c r="B19" s="43">
        <v>2</v>
      </c>
      <c r="C19" s="128">
        <v>4.551583987741812</v>
      </c>
      <c r="D19" s="129">
        <v>2.407285100230464</v>
      </c>
    </row>
    <row r="20" spans="1:4" ht="12.75">
      <c r="A20" s="43">
        <v>13.5</v>
      </c>
      <c r="B20" s="43">
        <v>1</v>
      </c>
      <c r="C20" s="128">
        <v>5.551583987741812</v>
      </c>
      <c r="D20" s="129">
        <v>1.0951198113500253</v>
      </c>
    </row>
    <row r="21" spans="1:4" ht="12.75">
      <c r="A21" s="43">
        <v>15.5</v>
      </c>
      <c r="B21" s="43">
        <v>0</v>
      </c>
      <c r="C21" s="128">
        <v>6.551583987741812</v>
      </c>
      <c r="D21" s="129">
        <v>0.4889306604578633</v>
      </c>
    </row>
    <row r="22" spans="1:4" ht="12.75">
      <c r="A22" s="43">
        <v>17.5</v>
      </c>
      <c r="B22" s="43">
        <v>1</v>
      </c>
      <c r="C22" s="128">
        <v>7.551583987741812</v>
      </c>
      <c r="D22" s="129">
        <v>0.21526038648599344</v>
      </c>
    </row>
    <row r="24" ht="12.75">
      <c r="A24" t="s">
        <v>62</v>
      </c>
    </row>
    <row r="25" ht="12.75">
      <c r="A25" t="s">
        <v>86</v>
      </c>
    </row>
  </sheetData>
  <sheetProtection password="D73E" sheet="1" objects="1" scenarios="1"/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107"/>
  <sheetViews>
    <sheetView workbookViewId="0" topLeftCell="A1">
      <selection activeCell="A1" sqref="A1:L1"/>
    </sheetView>
  </sheetViews>
  <sheetFormatPr defaultColWidth="9.140625" defaultRowHeight="12.75"/>
  <cols>
    <col min="1" max="1" width="8.7109375" style="8" customWidth="1"/>
    <col min="2" max="2" width="11.7109375" style="8" customWidth="1"/>
    <col min="3" max="3" width="21.7109375" style="0" customWidth="1"/>
    <col min="4" max="4" width="23.421875" style="0" customWidth="1"/>
    <col min="5" max="5" width="8.7109375" style="0" customWidth="1"/>
    <col min="6" max="6" width="10.7109375" style="0" customWidth="1"/>
    <col min="7" max="7" width="8.7109375" style="0" customWidth="1"/>
    <col min="8" max="8" width="10.7109375" style="0" customWidth="1"/>
    <col min="9" max="9" width="8.7109375" style="0" customWidth="1"/>
    <col min="10" max="10" width="10.7109375" style="0" customWidth="1"/>
    <col min="11" max="11" width="8.7109375" style="0" customWidth="1"/>
    <col min="13" max="13" width="3.7109375" style="0" customWidth="1"/>
    <col min="14" max="16" width="3.57421875" style="0" customWidth="1"/>
    <col min="19" max="19" width="11.421875" style="0" bestFit="1" customWidth="1"/>
    <col min="23" max="23" width="3.7109375" style="0" customWidth="1"/>
    <col min="28" max="28" width="14.7109375" style="0" bestFit="1" customWidth="1"/>
    <col min="30" max="30" width="12.57421875" style="0" bestFit="1" customWidth="1"/>
  </cols>
  <sheetData>
    <row r="1" spans="1:21" ht="15">
      <c r="A1" s="1" t="s">
        <v>64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Q1" s="3" t="s">
        <v>63</v>
      </c>
      <c r="R1" s="4"/>
      <c r="S1" s="5"/>
      <c r="U1" s="6"/>
    </row>
    <row r="2" spans="1:20" ht="13.5" thickBot="1">
      <c r="A2" s="7" t="s">
        <v>22</v>
      </c>
      <c r="Q2" s="9"/>
      <c r="R2" s="10"/>
      <c r="S2" s="11">
        <f>INDEX('[1]Квантили Пирсона'!$B$36:$P$52,MATCH(ROUNDUP(R3,1),'[1]Квантили Пирсона'!$A$14:$A$30),MATCH(Q3,'[1]Квантили Пирсона'!$B$12:$P$12,1))</f>
        <v>1.64</v>
      </c>
      <c r="T2" s="12"/>
    </row>
    <row r="3" spans="1:18" ht="63.75" customHeight="1" thickBot="1">
      <c r="A3" s="13" t="s">
        <v>65</v>
      </c>
      <c r="B3" s="14" t="s">
        <v>66</v>
      </c>
      <c r="C3" s="15" t="s">
        <v>23</v>
      </c>
      <c r="D3" s="16" t="s">
        <v>5</v>
      </c>
      <c r="G3" s="6"/>
      <c r="J3" s="17"/>
      <c r="L3" s="18"/>
      <c r="Q3" s="19">
        <f>IF(J11&gt;=0.2,ROUND(J11,1),IF(J11&gt;0.175,0.2,IF(J11&gt;0.15,0.15,IF(J11&gt;=0.125,0.15,IF(J11&gt;0.075,0.1,IF(J11&gt;=0.04,0.05,IF(J11&gt;=0.02,0.03,IF(J11&gt;0.005,0.01,0))))))))</f>
        <v>0</v>
      </c>
      <c r="R3" s="20">
        <f>ROUNDUP(L10,1)</f>
        <v>3</v>
      </c>
    </row>
    <row r="4" spans="1:30" ht="15.75" customHeight="1" thickBot="1" thickTop="1">
      <c r="A4" s="21" t="s">
        <v>0</v>
      </c>
      <c r="B4" s="22">
        <f>SUM(B6:B105)</f>
        <v>1000</v>
      </c>
      <c r="C4" s="23"/>
      <c r="D4" s="24">
        <f>SUM(D6:D105)</f>
        <v>1002.4891516749107</v>
      </c>
      <c r="G4" s="25" t="s">
        <v>57</v>
      </c>
      <c r="H4" s="26">
        <f>F10*H12</f>
        <v>11.015251926306542</v>
      </c>
      <c r="I4" s="27" t="s">
        <v>58</v>
      </c>
      <c r="J4" s="28">
        <f>INDEX('[1]Квантили Пирсона'!$B$36:$P$52,MATCH(R3,'[1]Квантили Пирсона'!$A$36:$A$52),MATCH(Q3,'[1]Квантили Пирсона'!$B$34:$P$34,1))</f>
        <v>1.64</v>
      </c>
      <c r="K4" s="29" t="s">
        <v>59</v>
      </c>
      <c r="L4" s="30">
        <f>F8+J4*H4</f>
        <v>61.000013159142725</v>
      </c>
      <c r="P4" s="8"/>
      <c r="Q4" s="8"/>
      <c r="R4" s="8"/>
      <c r="S4" s="8"/>
      <c r="T4" s="8"/>
      <c r="U4" s="8"/>
      <c r="W4" s="8"/>
      <c r="X4" s="8"/>
      <c r="Z4" s="31" t="s">
        <v>67</v>
      </c>
      <c r="AA4" s="32">
        <f>1/2*((T5-2)-(T5*(T5+2))*(H10/T20))</f>
        <v>1.2553935432313994</v>
      </c>
      <c r="AD4" s="33">
        <f>SUM(AD6:AD105)/(COUNT(A6:A105)-1)</f>
        <v>14.76813105924077</v>
      </c>
    </row>
    <row r="5" spans="1:24" ht="12.75" customHeight="1">
      <c r="A5" s="34" t="s">
        <v>1</v>
      </c>
      <c r="B5" s="35" t="s">
        <v>2</v>
      </c>
      <c r="C5" s="35" t="s">
        <v>3</v>
      </c>
      <c r="D5" s="36" t="s">
        <v>4</v>
      </c>
      <c r="E5" s="37"/>
      <c r="F5" s="37"/>
      <c r="G5" s="37"/>
      <c r="H5" s="37"/>
      <c r="I5" s="37"/>
      <c r="J5" s="37"/>
      <c r="K5" s="37"/>
      <c r="L5" s="38"/>
      <c r="M5" s="39"/>
      <c r="N5" s="8"/>
      <c r="O5" s="8"/>
      <c r="P5" s="40" t="s">
        <v>8</v>
      </c>
      <c r="Q5" s="8"/>
      <c r="T5" s="41">
        <f>(6*(L10-J10-1))/(3*J10-2*L10+6)</f>
        <v>8.268717389765536</v>
      </c>
      <c r="W5" s="40" t="s">
        <v>17</v>
      </c>
      <c r="X5" s="8"/>
    </row>
    <row r="6" spans="1:30" ht="15.75">
      <c r="A6" s="42">
        <v>20</v>
      </c>
      <c r="B6" s="43">
        <v>11</v>
      </c>
      <c r="C6" s="44">
        <f>L12+0.5</f>
        <v>-2.995218283742446</v>
      </c>
      <c r="D6" s="45">
        <f>AC43</f>
        <v>12.489151674910666</v>
      </c>
      <c r="E6" s="46" t="s">
        <v>6</v>
      </c>
      <c r="F6" s="47">
        <f>'[1]Тип І. Моменты'!E5</f>
        <v>0.087</v>
      </c>
      <c r="G6" s="46" t="s">
        <v>6</v>
      </c>
      <c r="H6" s="48">
        <f>'[1]Тип І. Моменты'!F5</f>
        <v>4.861</v>
      </c>
      <c r="I6" s="46" t="s">
        <v>6</v>
      </c>
      <c r="J6" s="48">
        <f>'[1]Тип І. Моменты'!G5</f>
        <v>7.737</v>
      </c>
      <c r="K6" s="46" t="s">
        <v>6</v>
      </c>
      <c r="L6" s="49">
        <f>'[1]Тип І. Моменты'!H5</f>
        <v>72.385</v>
      </c>
      <c r="M6" s="50"/>
      <c r="N6" s="8"/>
      <c r="O6" s="8"/>
      <c r="P6" s="8"/>
      <c r="Q6" s="8"/>
      <c r="T6" s="51"/>
      <c r="W6" s="8"/>
      <c r="Z6" s="31" t="s">
        <v>68</v>
      </c>
      <c r="AA6" s="32">
        <f>1/2*((T5-2)+(T5*(T5+2))*(H10/T20))</f>
        <v>5.013323846534137</v>
      </c>
      <c r="AD6" s="52">
        <f>(B6-D6)^2</f>
        <v>2.217572710889241</v>
      </c>
    </row>
    <row r="7" spans="1:30" ht="12.75">
      <c r="A7" s="42">
        <v>25</v>
      </c>
      <c r="B7" s="43">
        <v>93</v>
      </c>
      <c r="C7" s="44">
        <f>C6+1</f>
        <v>-1.995218283742446</v>
      </c>
      <c r="D7" s="53">
        <f>ROUND(IF($AB$27*((1+$C7/$AA$10)^IF($AA$4&lt;0,-$AA$4,$AA$4))*((1-$C7/$AA$15)^IF($AA$4&lt;0,IF($AA$6&lt;0,-$AA$6,$AA$6),$AA$6))-INT($AB$27*((1+$C7/$AA$10)^IF($AA$4&lt;0,-$AA$4,$AA$4))*((1-$C7/$AA$15)^IF($AA$4&lt;0,IF($AA$6&lt;0,-$AA$6,$AA$6),$AA$6)))&gt;=0.5,INT($AB$27*((1+$C7/$AA$10)^IF($AA$4&lt;0,-$AA$4,$AA$4))*((1-$C7/$AA$15)^IF($AA$4&lt;0,IF($AA$6&lt;0,-$AA$6,$AA$6),$AA$6))+0.5),$AB$27*((1+$C7/$AA$10)^IF($AA$4&lt;0,-$AA$4,$AA$4))*((1-$C7/$AA$15)^IF($AA$4&lt;0,IF($AA$6&lt;0,-$AA$6,$AA$6),$AA$6))),0)</f>
        <v>99</v>
      </c>
      <c r="E7" s="54"/>
      <c r="F7" s="54"/>
      <c r="G7" s="54"/>
      <c r="H7" s="54"/>
      <c r="I7" s="54"/>
      <c r="J7" s="54"/>
      <c r="K7" s="54"/>
      <c r="L7" s="55"/>
      <c r="M7" s="39"/>
      <c r="N7" s="8"/>
      <c r="O7" s="8"/>
      <c r="P7" s="8"/>
      <c r="Q7" s="8"/>
      <c r="T7" s="51"/>
      <c r="AD7" s="52">
        <f aca="true" t="shared" si="0" ref="AD7:AD70">(B7-D7)^2</f>
        <v>36</v>
      </c>
    </row>
    <row r="8" spans="1:30" ht="12.75">
      <c r="A8" s="42">
        <v>30</v>
      </c>
      <c r="B8" s="43">
        <v>163</v>
      </c>
      <c r="C8" s="44">
        <f aca="true" t="shared" si="1" ref="C8:C18">((A8-$T$27)/H$12)+0.5</f>
        <v>-0.9952182837424459</v>
      </c>
      <c r="D8" s="53">
        <f aca="true" t="shared" si="2" ref="D8:D18">ROUND(IF($AB$27*((1+$C8/$AA$10)^IF($AA$4&lt;0,-$AA$4,$AA$4))*((1-$C8/$AA$15)^IF($AA$4&lt;0,IF($AA$6&lt;0,-$AA$6,$AA$6),$AA$6))-INT($AB$27*((1+$C8/$AA$10)^IF($AA$4&lt;0,-$AA$4,$AA$4))*((1-$C8/$AA$15)^IF($AA$4&lt;0,IF($AA$6&lt;0,-$AA$6,$AA$6),$AA$6)))&gt;=0.5,INT($AB$27*((1+$C8/$AA$10)^IF($AA$4&lt;0,-$AA$4,$AA$4))*((1-$C8/$AA$15)^IF($AA$4&lt;0,IF($AA$6&lt;0,-$AA$6,$AA$6),$AA$6))+0.5),$AB$27*((1+$C8/$AA$10)^IF($AA$4&lt;0,-$AA$4,$AA$4))*((1-$C8/$AA$15)^IF($AA$4&lt;0,IF($AA$6&lt;0,-$AA$6,$AA$6),$AA$6))),0)</f>
        <v>162</v>
      </c>
      <c r="E8" s="46" t="s">
        <v>6</v>
      </c>
      <c r="F8" s="48">
        <f>'[1]Тип І. Моменты'!E7</f>
        <v>42.935</v>
      </c>
      <c r="G8" s="46" t="s">
        <v>6</v>
      </c>
      <c r="H8" s="47">
        <f>'[1]Тип І. Моменты'!F7</f>
        <v>4.853431</v>
      </c>
      <c r="I8" s="46" t="s">
        <v>6</v>
      </c>
      <c r="J8" s="47">
        <f>'[1]Тип І. Моменты'!G7</f>
        <v>6.469596006000001</v>
      </c>
      <c r="K8" s="46" t="s">
        <v>6</v>
      </c>
      <c r="L8" s="56">
        <f>'[1]Тип І. Моменты'!H7</f>
        <v>69.913109584717</v>
      </c>
      <c r="M8" s="50"/>
      <c r="N8" s="8"/>
      <c r="O8" s="8"/>
      <c r="P8" s="8"/>
      <c r="Q8" s="8"/>
      <c r="T8" s="51"/>
      <c r="W8" s="8"/>
      <c r="X8" s="8"/>
      <c r="AD8" s="52">
        <f t="shared" si="0"/>
        <v>1</v>
      </c>
    </row>
    <row r="9" spans="1:30" ht="12.75">
      <c r="A9" s="42">
        <v>35</v>
      </c>
      <c r="B9" s="43">
        <v>178</v>
      </c>
      <c r="C9" s="44">
        <f t="shared" si="1"/>
        <v>0.004781716257554081</v>
      </c>
      <c r="D9" s="53">
        <f t="shared" si="2"/>
        <v>179</v>
      </c>
      <c r="E9" s="54"/>
      <c r="F9" s="54"/>
      <c r="G9" s="54"/>
      <c r="H9" s="54"/>
      <c r="I9" s="54"/>
      <c r="J9" s="54"/>
      <c r="K9" s="54"/>
      <c r="L9" s="55"/>
      <c r="M9" s="39"/>
      <c r="N9" s="8"/>
      <c r="O9" s="8"/>
      <c r="P9" s="8"/>
      <c r="T9" s="51"/>
      <c r="W9" s="8"/>
      <c r="X9" s="8"/>
      <c r="AD9" s="52">
        <f t="shared" si="0"/>
        <v>1</v>
      </c>
    </row>
    <row r="10" spans="1:30" ht="13.5" thickBot="1">
      <c r="A10" s="42">
        <v>40</v>
      </c>
      <c r="B10" s="43">
        <v>176</v>
      </c>
      <c r="C10" s="44">
        <f t="shared" si="1"/>
        <v>1.004781716257554</v>
      </c>
      <c r="D10" s="53">
        <f t="shared" si="2"/>
        <v>166</v>
      </c>
      <c r="E10" s="57" t="s">
        <v>6</v>
      </c>
      <c r="F10" s="58">
        <f>'[1]Тип І. Моменты'!E9</f>
        <v>2.2030503852613084</v>
      </c>
      <c r="G10" s="57" t="s">
        <v>6</v>
      </c>
      <c r="H10" s="58">
        <f>'[1]Тип І. Моменты'!F9</f>
        <v>0.6050675641921125</v>
      </c>
      <c r="I10" s="57" t="s">
        <v>6</v>
      </c>
      <c r="J10" s="59">
        <f>'[1]Тип І. Моменты'!G9</f>
        <v>0.3661067572373762</v>
      </c>
      <c r="K10" s="57" t="s">
        <v>6</v>
      </c>
      <c r="L10" s="60">
        <f>'[1]Тип І. Моменты'!H9</f>
        <v>2.967979517926633</v>
      </c>
      <c r="M10" s="50"/>
      <c r="N10" s="8"/>
      <c r="O10" s="8"/>
      <c r="P10" s="40" t="s">
        <v>9</v>
      </c>
      <c r="Q10" s="8"/>
      <c r="T10" s="41">
        <f>J10*((L10+3)^2)/(4*(4*L10-3*J10)*(2*L10-3*J10-6))</f>
        <v>-0.26031579775148245</v>
      </c>
      <c r="U10" s="61"/>
      <c r="W10" s="40" t="s">
        <v>18</v>
      </c>
      <c r="X10" s="8"/>
      <c r="AA10" s="32">
        <f>AA4*T34/(T5-2)</f>
        <v>3.0158180436720405</v>
      </c>
      <c r="AD10" s="52">
        <f t="shared" si="0"/>
        <v>100</v>
      </c>
    </row>
    <row r="11" spans="1:30" ht="12.75">
      <c r="A11" s="42">
        <v>45</v>
      </c>
      <c r="B11" s="43">
        <v>132</v>
      </c>
      <c r="C11" s="44">
        <f t="shared" si="1"/>
        <v>2.004781716257554</v>
      </c>
      <c r="D11" s="53">
        <f t="shared" si="2"/>
        <v>137</v>
      </c>
      <c r="H11" s="62"/>
      <c r="J11" s="63"/>
      <c r="N11" s="8"/>
      <c r="O11" s="8"/>
      <c r="P11" s="8"/>
      <c r="Q11" s="8"/>
      <c r="T11" s="51"/>
      <c r="W11" s="8"/>
      <c r="AD11" s="52">
        <f t="shared" si="0"/>
        <v>25</v>
      </c>
    </row>
    <row r="12" spans="1:30" ht="12.75">
      <c r="A12" s="42">
        <v>50</v>
      </c>
      <c r="B12" s="43">
        <v>100</v>
      </c>
      <c r="C12" s="44">
        <f t="shared" si="1"/>
        <v>3.004781716257554</v>
      </c>
      <c r="D12" s="53">
        <f t="shared" si="2"/>
        <v>101</v>
      </c>
      <c r="G12" s="64" t="s">
        <v>7</v>
      </c>
      <c r="H12" s="65">
        <f>A7-A6</f>
        <v>5</v>
      </c>
      <c r="K12" s="66" t="s">
        <v>6</v>
      </c>
      <c r="L12" s="67">
        <f>(A6-$T$27)/H$12</f>
        <v>-3.495218283742446</v>
      </c>
      <c r="N12" s="8"/>
      <c r="O12" s="8"/>
      <c r="P12" s="8"/>
      <c r="Q12" s="8"/>
      <c r="T12" s="51"/>
      <c r="W12" s="8"/>
      <c r="AD12" s="52">
        <f t="shared" si="0"/>
        <v>1</v>
      </c>
    </row>
    <row r="13" spans="1:30" ht="12.75">
      <c r="A13" s="42">
        <v>55</v>
      </c>
      <c r="B13" s="43">
        <v>67</v>
      </c>
      <c r="C13" s="44">
        <f t="shared" si="1"/>
        <v>4.004781716257554</v>
      </c>
      <c r="D13" s="53">
        <f t="shared" si="2"/>
        <v>68</v>
      </c>
      <c r="H13" s="62"/>
      <c r="N13" s="8"/>
      <c r="O13" s="8"/>
      <c r="P13" s="8"/>
      <c r="Q13" s="8"/>
      <c r="T13" s="51"/>
      <c r="AD13" s="52">
        <f t="shared" si="0"/>
        <v>1</v>
      </c>
    </row>
    <row r="14" spans="1:30" ht="12.75">
      <c r="A14" s="42">
        <v>60</v>
      </c>
      <c r="B14" s="43">
        <v>40</v>
      </c>
      <c r="C14" s="44">
        <f t="shared" si="1"/>
        <v>5.004781716257554</v>
      </c>
      <c r="D14" s="53">
        <f t="shared" si="2"/>
        <v>41</v>
      </c>
      <c r="K14" s="62"/>
      <c r="L14" s="31"/>
      <c r="N14" s="8"/>
      <c r="O14" s="8"/>
      <c r="P14" s="8"/>
      <c r="T14" s="51"/>
      <c r="W14" s="8"/>
      <c r="AD14" s="52">
        <f t="shared" si="0"/>
        <v>1</v>
      </c>
    </row>
    <row r="15" spans="1:30" ht="12.75">
      <c r="A15" s="42">
        <v>65</v>
      </c>
      <c r="B15" s="43">
        <v>24</v>
      </c>
      <c r="C15" s="44">
        <f t="shared" si="1"/>
        <v>6.004781716257554</v>
      </c>
      <c r="D15" s="53">
        <f t="shared" si="2"/>
        <v>22</v>
      </c>
      <c r="H15" s="62"/>
      <c r="J15" s="68"/>
      <c r="K15" s="68"/>
      <c r="L15" s="67"/>
      <c r="N15" s="8"/>
      <c r="O15" s="8"/>
      <c r="P15" s="40" t="s">
        <v>10</v>
      </c>
      <c r="Q15" s="8"/>
      <c r="T15" s="41">
        <f>IF(T10&lt;0,-J10*(T5+2)^2/(16*(T5+1)),J10*(T5+2)^2/(16*(T5+1)))</f>
        <v>-0.26031579775148245</v>
      </c>
      <c r="U15" s="61"/>
      <c r="W15" s="40" t="s">
        <v>19</v>
      </c>
      <c r="AA15" s="32">
        <f>AA6*T34/(T5-2)</f>
        <v>12.04345250671894</v>
      </c>
      <c r="AD15" s="52">
        <f t="shared" si="0"/>
        <v>4</v>
      </c>
    </row>
    <row r="16" spans="1:30" ht="12.75">
      <c r="A16" s="42">
        <v>70</v>
      </c>
      <c r="B16" s="43">
        <v>12</v>
      </c>
      <c r="C16" s="44">
        <f t="shared" si="1"/>
        <v>7.004781716257554</v>
      </c>
      <c r="D16" s="53">
        <f t="shared" si="2"/>
        <v>10</v>
      </c>
      <c r="N16" s="8"/>
      <c r="O16" s="8"/>
      <c r="P16" s="8"/>
      <c r="Q16" s="8"/>
      <c r="T16" s="51"/>
      <c r="W16" s="8"/>
      <c r="X16" s="8"/>
      <c r="AD16" s="52">
        <f t="shared" si="0"/>
        <v>4</v>
      </c>
    </row>
    <row r="17" spans="1:30" ht="12.75">
      <c r="A17" s="42">
        <v>75</v>
      </c>
      <c r="B17" s="43">
        <v>3</v>
      </c>
      <c r="C17" s="44">
        <f t="shared" si="1"/>
        <v>8.004781716257554</v>
      </c>
      <c r="D17" s="53">
        <f t="shared" si="2"/>
        <v>4</v>
      </c>
      <c r="N17" s="8"/>
      <c r="O17" s="8"/>
      <c r="P17" s="8"/>
      <c r="Q17" s="8"/>
      <c r="T17" s="51"/>
      <c r="AD17" s="52">
        <f t="shared" si="0"/>
        <v>1</v>
      </c>
    </row>
    <row r="18" spans="1:30" ht="12.75">
      <c r="A18" s="42">
        <v>80</v>
      </c>
      <c r="B18" s="43">
        <v>1</v>
      </c>
      <c r="C18" s="44">
        <f t="shared" si="1"/>
        <v>9.004781716257554</v>
      </c>
      <c r="D18" s="53">
        <f t="shared" si="2"/>
        <v>1</v>
      </c>
      <c r="F18" s="68"/>
      <c r="H18" s="62"/>
      <c r="N18" s="8"/>
      <c r="O18" s="8"/>
      <c r="P18" s="8"/>
      <c r="Q18" s="8"/>
      <c r="AD18" s="52">
        <f t="shared" si="0"/>
        <v>0</v>
      </c>
    </row>
    <row r="19" spans="12:30" ht="12.75">
      <c r="L19" s="69"/>
      <c r="N19" s="8"/>
      <c r="O19" s="8"/>
      <c r="P19" s="8"/>
      <c r="Q19" s="8"/>
      <c r="W19" s="8"/>
      <c r="X19" s="8"/>
      <c r="AD19" s="52">
        <f t="shared" si="0"/>
        <v>0</v>
      </c>
    </row>
    <row r="20" spans="6:30" ht="12.75" customHeight="1">
      <c r="F20" s="8"/>
      <c r="G20" s="8"/>
      <c r="H20" s="70"/>
      <c r="L20" s="71"/>
      <c r="M20" s="71"/>
      <c r="N20" s="8"/>
      <c r="O20" s="8"/>
      <c r="P20" s="40" t="s">
        <v>11</v>
      </c>
      <c r="Q20" s="8"/>
      <c r="T20" s="72">
        <f>SQRT(J10*(T5+2)^2+16*(T5+1))</f>
        <v>13.671290181231845</v>
      </c>
      <c r="W20" s="40" t="s">
        <v>20</v>
      </c>
      <c r="AA20" s="73">
        <f>AA10+AA15</f>
        <v>15.05927055039098</v>
      </c>
      <c r="AD20" s="52">
        <f t="shared" si="0"/>
        <v>0</v>
      </c>
    </row>
    <row r="21" spans="4:30" ht="12.75">
      <c r="D21" s="74"/>
      <c r="F21" s="8"/>
      <c r="G21" s="8"/>
      <c r="K21" s="75"/>
      <c r="L21" s="74"/>
      <c r="M21" s="74"/>
      <c r="N21" s="8"/>
      <c r="O21" s="8"/>
      <c r="P21" s="8"/>
      <c r="Q21" s="8"/>
      <c r="W21" s="8"/>
      <c r="X21" s="8"/>
      <c r="AD21" s="52">
        <f t="shared" si="0"/>
        <v>0</v>
      </c>
    </row>
    <row r="22" spans="7:30" ht="12.75">
      <c r="G22" s="68"/>
      <c r="K22" s="75"/>
      <c r="L22" s="70"/>
      <c r="M22" s="74"/>
      <c r="N22" s="8"/>
      <c r="O22" s="8"/>
      <c r="P22" s="8"/>
      <c r="Q22" s="8"/>
      <c r="W22" s="8"/>
      <c r="X22" s="76"/>
      <c r="AD22" s="52">
        <f t="shared" si="0"/>
        <v>0</v>
      </c>
    </row>
    <row r="23" spans="3:30" ht="12.75">
      <c r="C23" s="62"/>
      <c r="K23" s="75"/>
      <c r="L23" s="74"/>
      <c r="M23" s="74"/>
      <c r="N23" s="8"/>
      <c r="O23" s="8"/>
      <c r="P23" s="40" t="s">
        <v>12</v>
      </c>
      <c r="T23" s="32">
        <f>4*SQRT((T5+1)*(1-T10))</f>
        <v>13.671290181231845</v>
      </c>
      <c r="X23" s="77"/>
      <c r="AD23" s="52">
        <f t="shared" si="0"/>
        <v>0</v>
      </c>
    </row>
    <row r="24" spans="2:30" ht="12.75">
      <c r="B24" s="78"/>
      <c r="C24" s="79"/>
      <c r="D24" s="78"/>
      <c r="E24" s="78"/>
      <c r="K24" s="75"/>
      <c r="L24" s="74"/>
      <c r="M24" s="74"/>
      <c r="N24" s="8"/>
      <c r="O24" s="8"/>
      <c r="P24" s="8"/>
      <c r="Q24" s="8"/>
      <c r="W24" s="8"/>
      <c r="X24" s="80"/>
      <c r="AD24" s="52">
        <f t="shared" si="0"/>
        <v>0</v>
      </c>
    </row>
    <row r="25" spans="2:30" ht="12.75">
      <c r="B25" s="78"/>
      <c r="C25" s="79"/>
      <c r="D25" s="78"/>
      <c r="E25" s="78"/>
      <c r="K25" s="75"/>
      <c r="L25" s="81"/>
      <c r="M25" s="74"/>
      <c r="N25" s="8"/>
      <c r="O25" s="8"/>
      <c r="P25" s="8"/>
      <c r="Q25" s="8"/>
      <c r="X25" s="80"/>
      <c r="AB25" s="82">
        <f>(($B$4*($AA$10)^$AA$4*($AA$15)^$AA$6)/($AA$20)^($AA$4+$AA$6+1))*(EXP(GAMMALN($AA$4+$AA$6+2))/(EXP(GAMMALN($AA$4+1))*(EXP(GAMMALN($AA$6+1)))))</f>
        <v>179.45709307515475</v>
      </c>
      <c r="AD25" s="52">
        <f t="shared" si="0"/>
        <v>0</v>
      </c>
    </row>
    <row r="26" spans="2:30" ht="12.75">
      <c r="B26" s="78"/>
      <c r="C26" s="79"/>
      <c r="D26" s="78"/>
      <c r="E26" s="78"/>
      <c r="K26" s="75"/>
      <c r="L26" s="74"/>
      <c r="M26" s="74"/>
      <c r="N26" s="8"/>
      <c r="O26" s="8"/>
      <c r="P26" s="8"/>
      <c r="Q26" s="8"/>
      <c r="X26" s="80"/>
      <c r="AB26" s="68"/>
      <c r="AD26" s="52">
        <f t="shared" si="0"/>
        <v>0</v>
      </c>
    </row>
    <row r="27" spans="2:30" ht="12.75">
      <c r="B27" s="78"/>
      <c r="C27" s="79"/>
      <c r="D27" s="78"/>
      <c r="E27" s="78"/>
      <c r="K27" s="75"/>
      <c r="L27" s="81"/>
      <c r="M27" s="74"/>
      <c r="N27" s="8"/>
      <c r="O27" s="8"/>
      <c r="P27" s="40" t="s">
        <v>13</v>
      </c>
      <c r="T27" s="32">
        <f>F8-(F10*H12*H10/2)*((T5+2)/(T5-2))</f>
        <v>37.47609141871223</v>
      </c>
      <c r="U27" s="68"/>
      <c r="W27" s="40" t="s">
        <v>21</v>
      </c>
      <c r="X27" s="80"/>
      <c r="AB27" s="83">
        <f>IF(AB25&gt;AB29,AB25,AB29)</f>
        <v>179.4570930751547</v>
      </c>
      <c r="AD27" s="52">
        <f t="shared" si="0"/>
        <v>0</v>
      </c>
    </row>
    <row r="28" spans="2:30" ht="12.75">
      <c r="B28" s="78"/>
      <c r="C28" s="79"/>
      <c r="D28" s="78"/>
      <c r="E28" s="78"/>
      <c r="F28" s="68"/>
      <c r="H28" s="84"/>
      <c r="K28" s="75"/>
      <c r="L28" s="74"/>
      <c r="M28" s="74"/>
      <c r="N28" s="8"/>
      <c r="O28" s="8"/>
      <c r="P28" s="8"/>
      <c r="Q28" s="8"/>
      <c r="X28" s="85"/>
      <c r="AB28" s="68"/>
      <c r="AD28" s="52">
        <f t="shared" si="0"/>
        <v>0</v>
      </c>
    </row>
    <row r="29" spans="2:30" ht="12.75">
      <c r="B29" s="78"/>
      <c r="C29" s="79"/>
      <c r="D29" s="78"/>
      <c r="E29" s="78"/>
      <c r="K29" s="75"/>
      <c r="L29" s="74"/>
      <c r="M29" s="74"/>
      <c r="N29" s="8"/>
      <c r="O29" s="8"/>
      <c r="P29" s="8"/>
      <c r="X29" s="80"/>
      <c r="AB29" s="82">
        <f>(B4/$AA$20)*($AA$4^$AA$4*$AA$6^$AA$6/($T$5-2)^($T$5-2))*(EXP(GAMMALN($T$5))/(EXP(GAMMALN($AA$4+1))*(EXP(GAMMALN($AA$6+1)))))</f>
        <v>179.4570930751547</v>
      </c>
      <c r="AD29" s="52">
        <f t="shared" si="0"/>
        <v>0</v>
      </c>
    </row>
    <row r="30" spans="2:30" ht="12.75">
      <c r="B30" s="78"/>
      <c r="C30" s="79"/>
      <c r="D30" s="78"/>
      <c r="E30" s="78"/>
      <c r="K30" s="75"/>
      <c r="L30" s="74"/>
      <c r="M30" s="74"/>
      <c r="N30" s="8"/>
      <c r="O30" s="8"/>
      <c r="P30" s="8"/>
      <c r="Q30" s="8"/>
      <c r="X30" s="85"/>
      <c r="AD30" s="52">
        <f t="shared" si="0"/>
        <v>0</v>
      </c>
    </row>
    <row r="31" spans="2:30" ht="12.75">
      <c r="B31" s="78"/>
      <c r="C31" s="79"/>
      <c r="D31" s="78"/>
      <c r="E31" s="78"/>
      <c r="K31" s="75"/>
      <c r="L31" s="74"/>
      <c r="M31" s="74"/>
      <c r="N31" s="8"/>
      <c r="O31" s="8"/>
      <c r="P31" s="40" t="s">
        <v>14</v>
      </c>
      <c r="T31" s="86">
        <f>(H10/2)*((T5+2)/(T5-2))</f>
        <v>0.49557727937668367</v>
      </c>
      <c r="X31" s="87"/>
      <c r="AD31" s="52">
        <f t="shared" si="0"/>
        <v>0</v>
      </c>
    </row>
    <row r="32" spans="2:30" ht="12.75">
      <c r="B32" s="78"/>
      <c r="C32" s="79"/>
      <c r="D32" s="78"/>
      <c r="E32" s="78"/>
      <c r="K32" s="75"/>
      <c r="L32" s="74"/>
      <c r="M32" s="74"/>
      <c r="N32" s="8"/>
      <c r="O32" s="8"/>
      <c r="P32" s="8"/>
      <c r="Q32" s="8"/>
      <c r="AD32" s="52">
        <f t="shared" si="0"/>
        <v>0</v>
      </c>
    </row>
    <row r="33" spans="2:30" ht="12.75">
      <c r="B33" s="78"/>
      <c r="C33" s="79"/>
      <c r="D33" s="78"/>
      <c r="E33" s="78"/>
      <c r="K33" s="75"/>
      <c r="L33" s="74"/>
      <c r="M33" s="74"/>
      <c r="N33" s="8"/>
      <c r="O33" s="8"/>
      <c r="P33" s="8"/>
      <c r="Q33" s="8"/>
      <c r="AD33" s="52">
        <f t="shared" si="0"/>
        <v>0</v>
      </c>
    </row>
    <row r="34" spans="2:30" ht="12.75">
      <c r="B34" s="78"/>
      <c r="C34" s="79"/>
      <c r="D34" s="78"/>
      <c r="E34" s="78"/>
      <c r="K34" s="71"/>
      <c r="N34" s="8"/>
      <c r="O34" s="8"/>
      <c r="P34" s="40" t="s">
        <v>15</v>
      </c>
      <c r="T34" s="32">
        <f>2*F10*SQRT((T5+1)*(1-T10))</f>
        <v>15.059270550390979</v>
      </c>
      <c r="AD34" s="52">
        <f t="shared" si="0"/>
        <v>0</v>
      </c>
    </row>
    <row r="35" spans="2:30" ht="12.75">
      <c r="B35" s="78"/>
      <c r="C35" s="79"/>
      <c r="D35" s="78"/>
      <c r="E35" s="78"/>
      <c r="N35" s="8"/>
      <c r="O35" s="8"/>
      <c r="P35" s="8"/>
      <c r="Q35" s="8"/>
      <c r="AD35" s="52">
        <f t="shared" si="0"/>
        <v>0</v>
      </c>
    </row>
    <row r="36" spans="2:30" ht="12.75">
      <c r="B36" s="78"/>
      <c r="C36" s="79"/>
      <c r="D36" s="78"/>
      <c r="E36" s="78"/>
      <c r="L36" s="88"/>
      <c r="M36" s="88"/>
      <c r="N36" s="8"/>
      <c r="O36" s="8"/>
      <c r="P36" s="8"/>
      <c r="AD36" s="52">
        <f t="shared" si="0"/>
        <v>0</v>
      </c>
    </row>
    <row r="37" spans="2:30" ht="12.75">
      <c r="B37" s="78"/>
      <c r="C37" s="62"/>
      <c r="D37" s="78"/>
      <c r="E37" s="89"/>
      <c r="G37" s="89"/>
      <c r="N37" s="8"/>
      <c r="O37" s="8"/>
      <c r="P37" s="40" t="s">
        <v>16</v>
      </c>
      <c r="Q37" s="8"/>
      <c r="T37" s="32">
        <f>F10*T20/2</f>
        <v>15.059270550390979</v>
      </c>
      <c r="AD37" s="52">
        <f t="shared" si="0"/>
        <v>0</v>
      </c>
    </row>
    <row r="38" spans="3:30" ht="12.75">
      <c r="C38" s="79"/>
      <c r="N38" s="8"/>
      <c r="O38" s="8"/>
      <c r="P38" s="8"/>
      <c r="Q38" s="8"/>
      <c r="AD38" s="52">
        <f t="shared" si="0"/>
        <v>0</v>
      </c>
    </row>
    <row r="39" spans="3:30" ht="12.75">
      <c r="C39" s="79"/>
      <c r="N39" s="8"/>
      <c r="O39" s="8"/>
      <c r="AD39" s="52">
        <f t="shared" si="0"/>
        <v>0</v>
      </c>
    </row>
    <row r="40" spans="3:30" ht="12.75">
      <c r="C40" s="79"/>
      <c r="AD40" s="52">
        <f t="shared" si="0"/>
        <v>0</v>
      </c>
    </row>
    <row r="41" ht="12.75">
      <c r="AD41" s="52">
        <f t="shared" si="0"/>
        <v>0</v>
      </c>
    </row>
    <row r="42" ht="12.75">
      <c r="AD42" s="52">
        <f t="shared" si="0"/>
        <v>0</v>
      </c>
    </row>
    <row r="43" spans="16:30" ht="12.75" customHeight="1">
      <c r="P43" s="8"/>
      <c r="Q43" s="90" t="s">
        <v>49</v>
      </c>
      <c r="X43" s="88" t="s">
        <v>51</v>
      </c>
      <c r="AB43" s="91" t="s">
        <v>6</v>
      </c>
      <c r="AC43" s="92">
        <f>1/6*(X49*(X52+4*X54+X57))</f>
        <v>12.489151674910666</v>
      </c>
      <c r="AD43" s="52">
        <f t="shared" si="0"/>
        <v>0</v>
      </c>
    </row>
    <row r="44" spans="16:30" ht="12.75">
      <c r="P44" s="8"/>
      <c r="Q44" s="8"/>
      <c r="AC44" s="93">
        <v>12</v>
      </c>
      <c r="AD44" s="52">
        <f t="shared" si="0"/>
        <v>0</v>
      </c>
    </row>
    <row r="45" spans="16:30" ht="12.75">
      <c r="P45" s="94" t="s">
        <v>8</v>
      </c>
      <c r="Q45" t="s">
        <v>50</v>
      </c>
      <c r="W45" s="8" t="s">
        <v>6</v>
      </c>
      <c r="X45" s="95">
        <f>T27-AA10*H$12</f>
        <v>22.397001200352026</v>
      </c>
      <c r="AD45" s="52">
        <f t="shared" si="0"/>
        <v>0</v>
      </c>
    </row>
    <row r="46" spans="21:30" ht="12.75">
      <c r="U46" s="68"/>
      <c r="X46" s="68"/>
      <c r="AA46" s="96" t="s">
        <v>54</v>
      </c>
      <c r="AB46" s="97"/>
      <c r="AC46" s="98"/>
      <c r="AD46" s="52">
        <f t="shared" si="0"/>
        <v>0</v>
      </c>
    </row>
    <row r="47" spans="16:30" ht="12.75">
      <c r="P47" s="94" t="s">
        <v>9</v>
      </c>
      <c r="Q47" t="s">
        <v>52</v>
      </c>
      <c r="W47" s="8" t="s">
        <v>6</v>
      </c>
      <c r="X47" s="95">
        <f>AC48-X45</f>
        <v>2.602998799647974</v>
      </c>
      <c r="AA47" s="99" t="s">
        <v>55</v>
      </c>
      <c r="AC47" s="99" t="s">
        <v>56</v>
      </c>
      <c r="AD47" s="52">
        <f t="shared" si="0"/>
        <v>0</v>
      </c>
    </row>
    <row r="48" spans="16:30" ht="12.75">
      <c r="P48" s="8"/>
      <c r="Q48" s="8"/>
      <c r="AA48" s="100">
        <f>A$6-H$12/2</f>
        <v>17.5</v>
      </c>
      <c r="AB48" s="54" t="s">
        <v>51</v>
      </c>
      <c r="AC48" s="65">
        <f>A7</f>
        <v>25</v>
      </c>
      <c r="AD48" s="52">
        <f t="shared" si="0"/>
        <v>0</v>
      </c>
    </row>
    <row r="49" spans="16:30" ht="15.75">
      <c r="P49" s="94" t="s">
        <v>10</v>
      </c>
      <c r="Q49" t="s">
        <v>53</v>
      </c>
      <c r="V49" s="31" t="s">
        <v>69</v>
      </c>
      <c r="W49" s="8" t="s">
        <v>6</v>
      </c>
      <c r="X49" s="32">
        <f>X47/H12</f>
        <v>0.5205997599295948</v>
      </c>
      <c r="AD49" s="52">
        <f t="shared" si="0"/>
        <v>0</v>
      </c>
    </row>
    <row r="50" spans="16:30" ht="12.75">
      <c r="P50" s="40"/>
      <c r="AA50" s="101"/>
      <c r="AB50" s="102"/>
      <c r="AD50" s="52">
        <f t="shared" si="0"/>
        <v>0</v>
      </c>
    </row>
    <row r="51" spans="16:30" ht="15.75">
      <c r="P51" s="94" t="s">
        <v>11</v>
      </c>
      <c r="Q51" s="88" t="s">
        <v>70</v>
      </c>
      <c r="AA51" s="103"/>
      <c r="AB51" s="104"/>
      <c r="AD51" s="52">
        <f t="shared" si="0"/>
        <v>0</v>
      </c>
    </row>
    <row r="52" spans="16:30" ht="15.75">
      <c r="P52" s="8"/>
      <c r="Q52" s="8"/>
      <c r="V52" s="105" t="s">
        <v>71</v>
      </c>
      <c r="W52" s="8" t="s">
        <v>6</v>
      </c>
      <c r="X52" s="106">
        <v>0</v>
      </c>
      <c r="AA52" s="107"/>
      <c r="AB52" s="108"/>
      <c r="AD52" s="52">
        <f t="shared" si="0"/>
        <v>0</v>
      </c>
    </row>
    <row r="53" spans="16:30" ht="12.75">
      <c r="P53" s="8"/>
      <c r="Q53" s="8"/>
      <c r="V53" s="31"/>
      <c r="W53" s="8"/>
      <c r="X53" s="17"/>
      <c r="AD53" s="52">
        <f t="shared" si="0"/>
        <v>0</v>
      </c>
    </row>
    <row r="54" spans="15:30" ht="15.75" customHeight="1">
      <c r="O54" s="109" t="s">
        <v>72</v>
      </c>
      <c r="P54" s="110"/>
      <c r="Q54" s="111">
        <f>(C$6+C$7)/2-X$49/2</f>
        <v>-2.7555181637072432</v>
      </c>
      <c r="R54" s="112" t="s">
        <v>73</v>
      </c>
      <c r="S54" s="113">
        <f>Q54/AA10</f>
        <v>-0.9136884665469214</v>
      </c>
      <c r="T54" s="112" t="s">
        <v>74</v>
      </c>
      <c r="U54" s="113">
        <f>1+S54</f>
        <v>0.08631153345307863</v>
      </c>
      <c r="V54" s="114" t="s">
        <v>75</v>
      </c>
      <c r="W54" s="115" t="s">
        <v>6</v>
      </c>
      <c r="X54" s="116">
        <f>AB$27*U54^AA$4*U55^AA$6</f>
        <v>23.275716602245573</v>
      </c>
      <c r="AB54" s="117">
        <v>23.29</v>
      </c>
      <c r="AD54" s="52">
        <f t="shared" si="0"/>
        <v>0</v>
      </c>
    </row>
    <row r="55" spans="15:30" ht="13.5">
      <c r="O55" s="110"/>
      <c r="P55" s="110"/>
      <c r="Q55" s="118"/>
      <c r="R55" s="112" t="s">
        <v>76</v>
      </c>
      <c r="S55" s="113">
        <f>Q54/AA15</f>
        <v>-0.2287980263275803</v>
      </c>
      <c r="T55" s="112" t="s">
        <v>77</v>
      </c>
      <c r="U55" s="113">
        <f>1-S55</f>
        <v>1.2287980263275804</v>
      </c>
      <c r="V55" s="119"/>
      <c r="W55" s="110"/>
      <c r="X55" s="119"/>
      <c r="AC55" s="120">
        <f>1/6*(X49*(AA52+4*AB54+AB57))</f>
        <v>12.4596875876483</v>
      </c>
      <c r="AD55" s="52">
        <f t="shared" si="0"/>
        <v>0</v>
      </c>
    </row>
    <row r="56" ht="12.75">
      <c r="AD56" s="52">
        <f t="shared" si="0"/>
        <v>0</v>
      </c>
    </row>
    <row r="57" spans="16:30" ht="13.5">
      <c r="P57" s="109"/>
      <c r="Q57" s="111">
        <f>Q54+X49/2</f>
        <v>-2.495218283742446</v>
      </c>
      <c r="R57" s="112" t="s">
        <v>78</v>
      </c>
      <c r="S57" s="113">
        <f>Q57/AA10</f>
        <v>-0.8273769330938429</v>
      </c>
      <c r="T57" s="112" t="s">
        <v>79</v>
      </c>
      <c r="U57" s="113">
        <f>1+S57</f>
        <v>0.17262306690615714</v>
      </c>
      <c r="V57" s="114" t="s">
        <v>80</v>
      </c>
      <c r="W57" s="115" t="s">
        <v>6</v>
      </c>
      <c r="X57" s="116">
        <f>AB$27*U57^AA$4*U58^AA$6</f>
        <v>50.83671216400452</v>
      </c>
      <c r="AB57" s="117">
        <v>50.44</v>
      </c>
      <c r="AD57" s="52">
        <f t="shared" si="0"/>
        <v>0</v>
      </c>
    </row>
    <row r="58" spans="16:30" ht="13.5">
      <c r="P58" s="110"/>
      <c r="Q58" s="118"/>
      <c r="R58" s="112" t="s">
        <v>81</v>
      </c>
      <c r="S58" s="113">
        <f>Q57/AA15</f>
        <v>-0.20718463267492312</v>
      </c>
      <c r="T58" s="112" t="s">
        <v>82</v>
      </c>
      <c r="U58" s="113">
        <f>1-S58</f>
        <v>1.2071846326749232</v>
      </c>
      <c r="V58" s="119"/>
      <c r="W58" s="110"/>
      <c r="X58" s="119"/>
      <c r="AD58" s="52">
        <f t="shared" si="0"/>
        <v>0</v>
      </c>
    </row>
    <row r="59" ht="12.75">
      <c r="AD59" s="52">
        <f t="shared" si="0"/>
        <v>0</v>
      </c>
    </row>
    <row r="60" spans="17:30" ht="12.75">
      <c r="Q60" s="68"/>
      <c r="AD60" s="52">
        <f t="shared" si="0"/>
        <v>0</v>
      </c>
    </row>
    <row r="61" ht="12.75">
      <c r="AD61" s="52">
        <f t="shared" si="0"/>
        <v>0</v>
      </c>
    </row>
    <row r="62" ht="12.75">
      <c r="AD62" s="52">
        <f t="shared" si="0"/>
        <v>0</v>
      </c>
    </row>
    <row r="63" ht="12.75">
      <c r="AD63" s="52">
        <f t="shared" si="0"/>
        <v>0</v>
      </c>
    </row>
    <row r="64" ht="12.75">
      <c r="AD64" s="52">
        <f t="shared" si="0"/>
        <v>0</v>
      </c>
    </row>
    <row r="65" ht="12.75">
      <c r="AD65" s="52">
        <f t="shared" si="0"/>
        <v>0</v>
      </c>
    </row>
    <row r="66" ht="12.75">
      <c r="AD66" s="52">
        <f t="shared" si="0"/>
        <v>0</v>
      </c>
    </row>
    <row r="67" ht="12.75">
      <c r="AD67" s="52">
        <f t="shared" si="0"/>
        <v>0</v>
      </c>
    </row>
    <row r="68" ht="12.75">
      <c r="AD68" s="52">
        <f t="shared" si="0"/>
        <v>0</v>
      </c>
    </row>
    <row r="69" ht="12.75">
      <c r="AD69" s="52">
        <f t="shared" si="0"/>
        <v>0</v>
      </c>
    </row>
    <row r="70" ht="12.75">
      <c r="AD70" s="52">
        <f t="shared" si="0"/>
        <v>0</v>
      </c>
    </row>
    <row r="71" ht="12.75">
      <c r="AD71" s="52">
        <f aca="true" t="shared" si="3" ref="AD71:AD105">(B71-D71)^2</f>
        <v>0</v>
      </c>
    </row>
    <row r="72" ht="12.75">
      <c r="AD72" s="52">
        <f t="shared" si="3"/>
        <v>0</v>
      </c>
    </row>
    <row r="73" ht="12.75">
      <c r="AD73" s="52">
        <f t="shared" si="3"/>
        <v>0</v>
      </c>
    </row>
    <row r="74" ht="12.75">
      <c r="AD74" s="52">
        <f t="shared" si="3"/>
        <v>0</v>
      </c>
    </row>
    <row r="75" ht="12.75">
      <c r="AD75" s="52">
        <f t="shared" si="3"/>
        <v>0</v>
      </c>
    </row>
    <row r="76" ht="12.75">
      <c r="AD76" s="52">
        <f t="shared" si="3"/>
        <v>0</v>
      </c>
    </row>
    <row r="77" spans="5:30" ht="12.75">
      <c r="E77" s="8"/>
      <c r="F77" s="8"/>
      <c r="AD77" s="52">
        <f t="shared" si="3"/>
        <v>0</v>
      </c>
    </row>
    <row r="78" ht="12.75">
      <c r="AD78" s="52">
        <f t="shared" si="3"/>
        <v>0</v>
      </c>
    </row>
    <row r="79" ht="12.75">
      <c r="AD79" s="52">
        <f t="shared" si="3"/>
        <v>0</v>
      </c>
    </row>
    <row r="80" ht="12.75">
      <c r="AD80" s="52">
        <f t="shared" si="3"/>
        <v>0</v>
      </c>
    </row>
    <row r="81" spans="2:30" ht="12.75">
      <c r="B81"/>
      <c r="AD81" s="52">
        <f t="shared" si="3"/>
        <v>0</v>
      </c>
    </row>
    <row r="82" ht="12.75">
      <c r="AD82" s="52">
        <f t="shared" si="3"/>
        <v>0</v>
      </c>
    </row>
    <row r="83" ht="12.75">
      <c r="AD83" s="52">
        <f t="shared" si="3"/>
        <v>0</v>
      </c>
    </row>
    <row r="84" ht="12.75">
      <c r="AD84" s="52">
        <f t="shared" si="3"/>
        <v>0</v>
      </c>
    </row>
    <row r="85" ht="12.75">
      <c r="AD85" s="52">
        <f t="shared" si="3"/>
        <v>0</v>
      </c>
    </row>
    <row r="86" ht="12.75">
      <c r="AD86" s="52">
        <f t="shared" si="3"/>
        <v>0</v>
      </c>
    </row>
    <row r="87" ht="12.75">
      <c r="AD87" s="52">
        <f t="shared" si="3"/>
        <v>0</v>
      </c>
    </row>
    <row r="88" ht="12.75">
      <c r="AD88" s="52">
        <f t="shared" si="3"/>
        <v>0</v>
      </c>
    </row>
    <row r="89" ht="12.75">
      <c r="AD89" s="52">
        <f t="shared" si="3"/>
        <v>0</v>
      </c>
    </row>
    <row r="90" ht="12.75">
      <c r="AD90" s="52">
        <f t="shared" si="3"/>
        <v>0</v>
      </c>
    </row>
    <row r="91" ht="12.75">
      <c r="AD91" s="52">
        <f t="shared" si="3"/>
        <v>0</v>
      </c>
    </row>
    <row r="92" ht="12.75">
      <c r="AD92" s="52">
        <f t="shared" si="3"/>
        <v>0</v>
      </c>
    </row>
    <row r="93" ht="12.75">
      <c r="AD93" s="52">
        <f t="shared" si="3"/>
        <v>0</v>
      </c>
    </row>
    <row r="94" ht="12.75">
      <c r="AD94" s="52">
        <f t="shared" si="3"/>
        <v>0</v>
      </c>
    </row>
    <row r="95" ht="12.75">
      <c r="AD95" s="52">
        <f t="shared" si="3"/>
        <v>0</v>
      </c>
    </row>
    <row r="96" ht="12.75">
      <c r="AD96" s="52">
        <f t="shared" si="3"/>
        <v>0</v>
      </c>
    </row>
    <row r="97" ht="12.75">
      <c r="AD97" s="52">
        <f t="shared" si="3"/>
        <v>0</v>
      </c>
    </row>
    <row r="98" ht="12.75">
      <c r="AD98" s="52">
        <f t="shared" si="3"/>
        <v>0</v>
      </c>
    </row>
    <row r="99" ht="12.75">
      <c r="AD99" s="52">
        <f t="shared" si="3"/>
        <v>0</v>
      </c>
    </row>
    <row r="100" ht="12.75">
      <c r="AD100" s="52">
        <f t="shared" si="3"/>
        <v>0</v>
      </c>
    </row>
    <row r="101" ht="12.75">
      <c r="AD101" s="52">
        <f t="shared" si="3"/>
        <v>0</v>
      </c>
    </row>
    <row r="102" ht="12.75">
      <c r="AD102" s="52">
        <f t="shared" si="3"/>
        <v>0</v>
      </c>
    </row>
    <row r="103" ht="12.75">
      <c r="AD103" s="52">
        <f t="shared" si="3"/>
        <v>0</v>
      </c>
    </row>
    <row r="104" ht="12.75">
      <c r="AD104" s="52">
        <f t="shared" si="3"/>
        <v>0</v>
      </c>
    </row>
    <row r="105" ht="12.75">
      <c r="AD105" s="52">
        <f t="shared" si="3"/>
        <v>0</v>
      </c>
    </row>
    <row r="106" ht="12.75">
      <c r="AD106" s="52"/>
    </row>
    <row r="107" ht="12.75">
      <c r="AD107" s="52"/>
    </row>
  </sheetData>
  <sheetProtection password="D73E" sheet="1" objects="1" scenarios="1"/>
  <mergeCells count="13">
    <mergeCell ref="X57:X58"/>
    <mergeCell ref="P57:P58"/>
    <mergeCell ref="Q57:Q58"/>
    <mergeCell ref="V57:V58"/>
    <mergeCell ref="W57:W58"/>
    <mergeCell ref="A1:L1"/>
    <mergeCell ref="Q1:R1"/>
    <mergeCell ref="AA46:AC46"/>
    <mergeCell ref="O54:P55"/>
    <mergeCell ref="Q54:Q55"/>
    <mergeCell ref="V54:V55"/>
    <mergeCell ref="W54:W55"/>
    <mergeCell ref="X54:X55"/>
  </mergeCells>
  <printOptions/>
  <pageMargins left="0.75" right="0.75" top="1" bottom="1" header="0.5" footer="0.5"/>
  <pageSetup orientation="portrait" paperSize="9"/>
  <drawing r:id="rId47"/>
  <legacyDrawing r:id="rId46"/>
  <oleObjects>
    <oleObject progId="Equation.DSMT4" shapeId="297630" r:id="rId2"/>
    <oleObject progId="Equation.DSMT4" shapeId="297631" r:id="rId3"/>
    <oleObject progId="Equation.DSMT4" shapeId="297632" r:id="rId4"/>
    <oleObject progId="Equation.DSMT4" shapeId="297633" r:id="rId5"/>
    <oleObject progId="Equation.DSMT4" shapeId="297634" r:id="rId6"/>
    <oleObject progId="Equation.DSMT4" shapeId="297635" r:id="rId7"/>
    <oleObject progId="Equation.DSMT4" shapeId="297636" r:id="rId8"/>
    <oleObject progId="Equation.DSMT4" shapeId="297637" r:id="rId9"/>
    <oleObject progId="Equation.DSMT4" shapeId="297638" r:id="rId10"/>
    <oleObject progId="Equation.DSMT4" shapeId="297639" r:id="rId11"/>
    <oleObject progId="Equation.DSMT4" shapeId="297640" r:id="rId12"/>
    <oleObject progId="Equation.DSMT4" shapeId="297641" r:id="rId13"/>
    <oleObject progId="Equation.DSMT4" shapeId="297642" r:id="rId14"/>
    <oleObject progId="Equation.DSMT4" shapeId="297643" r:id="rId15"/>
    <oleObject progId="Equation.DSMT4" shapeId="297644" r:id="rId16"/>
    <oleObject progId="Equation.DSMT4" shapeId="297645" r:id="rId17"/>
    <oleObject progId="Equation.DSMT4" shapeId="297646" r:id="rId18"/>
    <oleObject progId="Equation.DSMT4" shapeId="297647" r:id="rId19"/>
    <oleObject progId="Equation.DSMT4" shapeId="297648" r:id="rId20"/>
    <oleObject progId="Equation.DSMT4" shapeId="297649" r:id="rId21"/>
    <oleObject progId="Equation.DSMT4" shapeId="297650" r:id="rId22"/>
    <oleObject progId="Equation.DSMT4" shapeId="297651" r:id="rId23"/>
    <oleObject progId="Equation.DSMT4" shapeId="297652" r:id="rId24"/>
    <oleObject progId="Equation.DSMT4" shapeId="297653" r:id="rId25"/>
    <oleObject progId="Equation.DSMT4" shapeId="297654" r:id="rId26"/>
    <oleObject progId="Equation.DSMT4" shapeId="297658" r:id="rId27"/>
    <oleObject progId="Equation.DSMT4" shapeId="297659" r:id="rId28"/>
    <oleObject progId="Equation.DSMT4" shapeId="297660" r:id="rId29"/>
    <oleObject progId="Equation.DSMT4" shapeId="297661" r:id="rId30"/>
    <oleObject progId="Equation.DSMT4" shapeId="297662" r:id="rId31"/>
    <oleObject progId="Equation.DSMT4" shapeId="297663" r:id="rId32"/>
    <oleObject progId="Equation.DSMT4" shapeId="297664" r:id="rId33"/>
    <oleObject progId="Equation.DSMT4" shapeId="297665" r:id="rId34"/>
    <oleObject progId="Equation.DSMT4" shapeId="297666" r:id="rId35"/>
    <oleObject progId="Equation.DSMT4" shapeId="297667" r:id="rId36"/>
    <oleObject progId="Equation.DSMT4" shapeId="297668" r:id="rId37"/>
    <oleObject progId="Equation.DSMT4" shapeId="297669" r:id="rId38"/>
    <oleObject progId="Equation.DSMT4" shapeId="297670" r:id="rId39"/>
    <oleObject progId="Equation.DSMT4" shapeId="297671" r:id="rId40"/>
    <oleObject progId="Photoshop.Image.5" shapeId="297672" r:id="rId41"/>
    <oleObject progId="Equation.DSMT4" shapeId="297673" r:id="rId42"/>
    <oleObject progId="Equation.DSMT4" shapeId="297674" r:id="rId43"/>
    <oleObject progId="Equation.DSMT4" shapeId="297675" r:id="rId44"/>
    <oleObject progId="Photoshop.Image.5" shapeId="297676" r:id="rId45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AA116"/>
  <sheetViews>
    <sheetView workbookViewId="0" topLeftCell="A1">
      <selection activeCell="A1" sqref="A1:S1"/>
    </sheetView>
  </sheetViews>
  <sheetFormatPr defaultColWidth="9.140625" defaultRowHeight="12.75"/>
  <cols>
    <col min="1" max="1" width="3.7109375" style="170" customWidth="1"/>
    <col min="2" max="3" width="10.7109375" style="0" customWidth="1"/>
    <col min="4" max="4" width="4.7109375" style="0" customWidth="1"/>
    <col min="5" max="8" width="10.7109375" style="0" customWidth="1"/>
    <col min="9" max="17" width="4.7109375" style="0" customWidth="1"/>
  </cols>
  <sheetData>
    <row r="1" spans="1:19" ht="12.75">
      <c r="A1" s="160" t="s">
        <v>95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1"/>
      <c r="N1" s="161"/>
      <c r="O1" s="161"/>
      <c r="P1" s="161"/>
      <c r="Q1" s="161"/>
      <c r="R1" s="161"/>
      <c r="S1" s="161"/>
    </row>
    <row r="2" spans="1:27" ht="12.75">
      <c r="A2" s="162" t="s">
        <v>24</v>
      </c>
      <c r="C2" s="31"/>
      <c r="D2" s="163">
        <f>IF(D3=0,I4,N4)</f>
        <v>42.5</v>
      </c>
      <c r="E2" s="164" t="s">
        <v>26</v>
      </c>
      <c r="F2" s="115"/>
      <c r="G2" s="115"/>
      <c r="H2" s="115"/>
      <c r="K2" s="165"/>
      <c r="L2" s="166"/>
      <c r="U2" s="164" t="s">
        <v>60</v>
      </c>
      <c r="V2" s="164"/>
      <c r="W2" s="164"/>
      <c r="X2" s="164"/>
      <c r="Y2" s="164"/>
      <c r="Z2" s="164"/>
      <c r="AA2" s="164"/>
    </row>
    <row r="3" spans="1:21" ht="13.5" thickBot="1">
      <c r="A3" s="162"/>
      <c r="C3" s="167"/>
      <c r="D3" s="168">
        <v>1</v>
      </c>
      <c r="E3" s="169"/>
      <c r="F3" s="166"/>
      <c r="G3" s="166"/>
      <c r="H3" s="166"/>
      <c r="K3" s="165"/>
      <c r="L3" s="166"/>
      <c r="U3" s="7" t="s">
        <v>22</v>
      </c>
    </row>
    <row r="4" spans="3:27" ht="12.75">
      <c r="C4" s="171">
        <f>MAX(C17:C116)</f>
        <v>178</v>
      </c>
      <c r="D4" s="172">
        <f>SUM(D17:D116)</f>
        <v>26</v>
      </c>
      <c r="E4" s="173"/>
      <c r="F4" s="174"/>
      <c r="G4" s="174"/>
      <c r="H4" s="175"/>
      <c r="I4" s="176">
        <f>SUM(I17:I116)</f>
        <v>35</v>
      </c>
      <c r="J4" s="177">
        <f>SUM(J17:J116)</f>
        <v>4</v>
      </c>
      <c r="K4" s="178">
        <f>SUM(K17:K116)</f>
        <v>13</v>
      </c>
      <c r="L4" s="179"/>
      <c r="M4" s="180"/>
      <c r="N4" s="181">
        <f>SUM(N17:N116)</f>
        <v>42.5</v>
      </c>
      <c r="O4" s="177">
        <f>SUM(O17:O116)</f>
        <v>5</v>
      </c>
      <c r="P4" s="177">
        <f>SUM(P17:P116)</f>
        <v>13</v>
      </c>
      <c r="Q4" s="182">
        <f>SUM(Q17:Q116)</f>
        <v>176</v>
      </c>
      <c r="U4" s="183"/>
      <c r="V4" s="37"/>
      <c r="W4" s="37"/>
      <c r="X4" s="37"/>
      <c r="Y4" s="37"/>
      <c r="Z4" s="37"/>
      <c r="AA4" s="38"/>
    </row>
    <row r="5" spans="3:27" ht="13.5" thickBot="1">
      <c r="C5" s="184"/>
      <c r="E5" s="185">
        <f>IF(E15/C15&gt;0.5,E15/C15-INT(E15/C15),IF(E15/C15&lt;-0.5,(INT(E15/C15)-1)-E15/C15,E15/C15))</f>
        <v>0.087</v>
      </c>
      <c r="F5" s="186">
        <f>F15/C15</f>
        <v>4.861</v>
      </c>
      <c r="G5" s="186">
        <f>G15/C15</f>
        <v>7.737</v>
      </c>
      <c r="H5" s="187">
        <f>H15/C15</f>
        <v>72.385</v>
      </c>
      <c r="I5" s="188"/>
      <c r="J5" s="188"/>
      <c r="K5" s="188"/>
      <c r="L5" s="189"/>
      <c r="S5">
        <v>-2087</v>
      </c>
      <c r="U5" s="190" t="s">
        <v>6</v>
      </c>
      <c r="V5" s="46" t="s">
        <v>6</v>
      </c>
      <c r="W5" s="191">
        <v>4.861</v>
      </c>
      <c r="X5" s="46" t="s">
        <v>6</v>
      </c>
      <c r="Y5" s="191">
        <v>7.737</v>
      </c>
      <c r="Z5" s="46" t="s">
        <v>6</v>
      </c>
      <c r="AA5" s="192">
        <v>72.385</v>
      </c>
    </row>
    <row r="6" spans="3:27" ht="12.75">
      <c r="C6" s="184"/>
      <c r="D6" s="188"/>
      <c r="E6" s="173"/>
      <c r="F6" s="193"/>
      <c r="G6" s="174"/>
      <c r="H6" s="194"/>
      <c r="I6" s="188"/>
      <c r="J6" s="188"/>
      <c r="K6" s="188"/>
      <c r="L6" s="193"/>
      <c r="S6">
        <v>1000</v>
      </c>
      <c r="U6" s="195"/>
      <c r="V6" s="54"/>
      <c r="W6" s="54"/>
      <c r="X6" s="54"/>
      <c r="Y6" s="54"/>
      <c r="Z6" s="54"/>
      <c r="AA6" s="55"/>
    </row>
    <row r="7" spans="3:27" ht="13.5" thickBot="1">
      <c r="C7" s="184"/>
      <c r="D7" s="188"/>
      <c r="E7" s="185">
        <f>IF((D2+E15/C15*'[1]Тип І.'!H12)&gt;=(D2+'[1]Тип І.'!H12),(D2+E15/C15*'[1]Тип І.'!H12)+0.5*'[1]Тип І.'!H12,(D2+E15/C15*'[1]Тип І.'!H12))</f>
        <v>42.935</v>
      </c>
      <c r="F7" s="186">
        <f>(F5-(E15/C15)^2)</f>
        <v>4.853431</v>
      </c>
      <c r="G7" s="186">
        <f>G5-3*F5*E5+2*E5^3</f>
        <v>6.469596006000001</v>
      </c>
      <c r="H7" s="187">
        <f>H5-4*G5*E5+6*F5*E5^2-3*E5^4</f>
        <v>69.913109584717</v>
      </c>
      <c r="I7" s="188"/>
      <c r="J7" s="188"/>
      <c r="K7" s="188"/>
      <c r="L7" s="189"/>
      <c r="S7" s="196">
        <f>S5/S6</f>
        <v>-2.087</v>
      </c>
      <c r="U7" s="190" t="s">
        <v>6</v>
      </c>
      <c r="V7" s="46" t="s">
        <v>6</v>
      </c>
      <c r="W7" s="191">
        <v>4.853</v>
      </c>
      <c r="X7" s="46" t="s">
        <v>6</v>
      </c>
      <c r="Y7" s="191">
        <v>6.469</v>
      </c>
      <c r="Z7" s="46" t="s">
        <v>6</v>
      </c>
      <c r="AA7" s="192">
        <v>62.912</v>
      </c>
    </row>
    <row r="8" spans="3:27" ht="12.75">
      <c r="C8" s="184"/>
      <c r="D8" s="188"/>
      <c r="E8" s="173"/>
      <c r="F8" s="174"/>
      <c r="G8" s="174"/>
      <c r="H8" s="194"/>
      <c r="I8" s="188"/>
      <c r="J8" s="188"/>
      <c r="K8" s="188"/>
      <c r="L8" s="76"/>
      <c r="U8" s="195"/>
      <c r="V8" s="54"/>
      <c r="W8" s="54"/>
      <c r="X8" s="54"/>
      <c r="Y8" s="54"/>
      <c r="Z8" s="54"/>
      <c r="AA8" s="55"/>
    </row>
    <row r="9" spans="3:27" ht="13.5" thickBot="1">
      <c r="C9" s="184"/>
      <c r="D9" s="188"/>
      <c r="E9" s="185">
        <f>SQRT(F7)</f>
        <v>2.2030503852613084</v>
      </c>
      <c r="F9" s="186">
        <f>G7/F7^1.5</f>
        <v>0.6050675641921125</v>
      </c>
      <c r="G9" s="186">
        <f>F9^2</f>
        <v>0.3661067572373762</v>
      </c>
      <c r="H9" s="187">
        <f>H7/(F7^2)</f>
        <v>2.967979517926633</v>
      </c>
      <c r="I9" s="188"/>
      <c r="J9" s="188"/>
      <c r="K9" s="188"/>
      <c r="L9" s="189"/>
      <c r="S9" s="197">
        <f>IF(S7&gt;0.5,S7-INT(S7),IF(S7&lt;-0.5,(INT(S7)+1)-S7,S7))</f>
        <v>0.08700000000000019</v>
      </c>
      <c r="U9" s="198" t="s">
        <v>6</v>
      </c>
      <c r="V9" s="57" t="s">
        <v>6</v>
      </c>
      <c r="W9" s="199">
        <v>0.605</v>
      </c>
      <c r="X9" s="57" t="s">
        <v>6</v>
      </c>
      <c r="Y9" s="199">
        <v>0.366</v>
      </c>
      <c r="Z9" s="57" t="s">
        <v>6</v>
      </c>
      <c r="AA9" s="200">
        <v>2.968</v>
      </c>
    </row>
    <row r="10" spans="2:12" ht="12.75">
      <c r="B10" s="188"/>
      <c r="C10" s="184"/>
      <c r="D10" s="188"/>
      <c r="I10" s="188"/>
      <c r="J10" s="188"/>
      <c r="K10" s="188"/>
      <c r="L10" s="193"/>
    </row>
    <row r="11" spans="2:12" ht="12.75">
      <c r="B11" s="188"/>
      <c r="C11" s="184"/>
      <c r="D11" s="188"/>
      <c r="I11" s="188"/>
      <c r="J11" s="188"/>
      <c r="K11" s="188"/>
      <c r="L11" s="193"/>
    </row>
    <row r="12" spans="2:12" ht="12.75">
      <c r="B12" s="188"/>
      <c r="C12" s="184"/>
      <c r="D12" s="188"/>
      <c r="I12" s="188"/>
      <c r="J12" s="188"/>
      <c r="K12" s="188"/>
      <c r="L12" s="193"/>
    </row>
    <row r="13" spans="2:12" ht="13.5" thickBot="1">
      <c r="B13" s="188"/>
      <c r="C13" s="184"/>
      <c r="D13" s="201"/>
      <c r="L13" s="189"/>
    </row>
    <row r="14" spans="2:17" ht="13.5" thickBot="1">
      <c r="B14" s="188"/>
      <c r="C14" s="184"/>
      <c r="D14" s="188"/>
      <c r="E14" s="202" t="s">
        <v>96</v>
      </c>
      <c r="F14" s="203"/>
      <c r="G14" s="203"/>
      <c r="H14" s="204"/>
      <c r="I14" s="205" t="s">
        <v>29</v>
      </c>
      <c r="J14" s="206"/>
      <c r="K14" s="206"/>
      <c r="L14" s="206"/>
      <c r="M14" s="206"/>
      <c r="N14" s="206"/>
      <c r="O14" s="206"/>
      <c r="P14" s="206"/>
      <c r="Q14" s="207"/>
    </row>
    <row r="15" spans="1:20" ht="13.5" customHeight="1" thickBot="1">
      <c r="A15" s="208"/>
      <c r="C15" s="188">
        <f>'[1]Тип І.'!B4</f>
        <v>1000</v>
      </c>
      <c r="D15" s="209">
        <f>SUM(D17:D116)</f>
        <v>26</v>
      </c>
      <c r="E15" s="210">
        <f>SUM(E17:E116)</f>
        <v>87</v>
      </c>
      <c r="F15" s="211">
        <f>SUM(F17:F116)</f>
        <v>4861</v>
      </c>
      <c r="G15" s="211">
        <f>SUM(G17:G116)</f>
        <v>7737</v>
      </c>
      <c r="H15" s="212">
        <f>SUM(H17:H116)</f>
        <v>72385</v>
      </c>
      <c r="I15" s="213" t="s">
        <v>27</v>
      </c>
      <c r="J15" s="214"/>
      <c r="K15" s="215"/>
      <c r="L15" s="216" t="s">
        <v>28</v>
      </c>
      <c r="M15" s="217"/>
      <c r="N15" s="217"/>
      <c r="O15" s="217"/>
      <c r="P15" s="217"/>
      <c r="Q15" s="218"/>
      <c r="R15" s="62"/>
      <c r="T15" s="62"/>
    </row>
    <row r="16" spans="1:17" ht="15.75" thickBot="1">
      <c r="A16" s="219" t="s">
        <v>25</v>
      </c>
      <c r="B16" s="220" t="s">
        <v>97</v>
      </c>
      <c r="C16" s="220" t="s">
        <v>98</v>
      </c>
      <c r="D16" s="220" t="s">
        <v>99</v>
      </c>
      <c r="E16" s="220" t="s">
        <v>100</v>
      </c>
      <c r="F16" s="220" t="s">
        <v>101</v>
      </c>
      <c r="G16" s="220" t="s">
        <v>102</v>
      </c>
      <c r="H16" s="221" t="s">
        <v>103</v>
      </c>
      <c r="I16" s="222"/>
      <c r="J16" s="223"/>
      <c r="K16" s="224"/>
      <c r="L16" s="222"/>
      <c r="M16" s="223"/>
      <c r="N16" s="223"/>
      <c r="O16" s="223"/>
      <c r="P16" s="223"/>
      <c r="Q16" s="224"/>
    </row>
    <row r="17" spans="1:17" ht="12.75">
      <c r="A17" s="225">
        <v>1</v>
      </c>
      <c r="B17" s="226">
        <f>'[1]Тип І.'!A6</f>
        <v>20</v>
      </c>
      <c r="C17" s="226">
        <f>'[1]Тип І.'!B6</f>
        <v>11</v>
      </c>
      <c r="D17" s="227">
        <f>IF($D$3=0,IF($C17=C$4,0,IF(A17&lt;=$K$4,(A17-$J$4),)),IF($C17=Q$4,0,IF(A17&lt;=$K$4,(A17-$O$4),)))</f>
        <v>-4</v>
      </c>
      <c r="E17" s="227">
        <f aca="true" t="shared" si="0" ref="E17:E80">$C17*$D17</f>
        <v>-44</v>
      </c>
      <c r="F17" s="227">
        <f aca="true" t="shared" si="1" ref="F17:F80">$C17*$D17^2</f>
        <v>176</v>
      </c>
      <c r="G17" s="227">
        <f aca="true" t="shared" si="2" ref="G17:G80">$C17*$D17^3</f>
        <v>-704</v>
      </c>
      <c r="H17" s="228">
        <f aca="true" t="shared" si="3" ref="H17:H80">$C17*$D17^4</f>
        <v>2816</v>
      </c>
      <c r="I17" s="229">
        <f aca="true" t="shared" si="4" ref="I17:I80">IF(C17=C$4,B17,)</f>
        <v>0</v>
      </c>
      <c r="J17" s="227">
        <f aca="true" t="shared" si="5" ref="J17:J80">IF(I17&gt;0,A17,)</f>
        <v>0</v>
      </c>
      <c r="K17" s="230">
        <f aca="true" t="shared" si="6" ref="K17:K80">IF(B17=0,0,1)</f>
        <v>1</v>
      </c>
      <c r="L17" s="229">
        <f>C17</f>
        <v>11</v>
      </c>
      <c r="M17" s="227"/>
      <c r="N17" s="231"/>
      <c r="O17" s="227">
        <f>IF(N17&gt;0,A17,)</f>
        <v>0</v>
      </c>
      <c r="P17" s="230">
        <f>IF(B17=0,0,1)</f>
        <v>1</v>
      </c>
      <c r="Q17" s="228">
        <f>IF(N17&gt;0,C17,0)</f>
        <v>0</v>
      </c>
    </row>
    <row r="18" spans="1:17" ht="12.75">
      <c r="A18" s="232">
        <f>A17+1</f>
        <v>2</v>
      </c>
      <c r="B18" s="233">
        <f>'[1]Тип І.'!A7</f>
        <v>25</v>
      </c>
      <c r="C18" s="233">
        <f>'[1]Тип І.'!B7</f>
        <v>93</v>
      </c>
      <c r="D18" s="227">
        <f aca="true" t="shared" si="7" ref="D18:D81">IF($D$3=0,IF($C18=C$4,0,IF(A18&lt;=$K$4,(A18-$J$4),)),IF($C18=Q$4,0,IF(A18&lt;=$K$4,(A18-$O$4),)))</f>
        <v>-3</v>
      </c>
      <c r="E18" s="234">
        <f t="shared" si="0"/>
        <v>-279</v>
      </c>
      <c r="F18" s="234">
        <f t="shared" si="1"/>
        <v>837</v>
      </c>
      <c r="G18" s="234">
        <f t="shared" si="2"/>
        <v>-2511</v>
      </c>
      <c r="H18" s="235">
        <f t="shared" si="3"/>
        <v>7533</v>
      </c>
      <c r="I18" s="236">
        <f t="shared" si="4"/>
        <v>0</v>
      </c>
      <c r="J18" s="234">
        <f t="shared" si="5"/>
        <v>0</v>
      </c>
      <c r="K18" s="237">
        <f t="shared" si="6"/>
        <v>1</v>
      </c>
      <c r="L18" s="236">
        <f aca="true" t="shared" si="8" ref="L18:L81">IF(B17&gt;0,(C18+L17),0)</f>
        <v>104</v>
      </c>
      <c r="M18" s="234">
        <f aca="true" t="shared" si="9" ref="M18:M81">IF(L18&gt;(0.5*C$15),B18,)</f>
        <v>0</v>
      </c>
      <c r="N18" s="234">
        <f>IF(M17=0,IF(L18&gt;0.5*C$15,B18+0.5*'[1]Тип І.'!H$12,0),0)</f>
        <v>0</v>
      </c>
      <c r="O18" s="227">
        <f aca="true" t="shared" si="10" ref="O18:O81">IF(N18&gt;0,A18,)</f>
        <v>0</v>
      </c>
      <c r="P18" s="230">
        <f aca="true" t="shared" si="11" ref="P18:P81">IF(B18=0,0,1)</f>
        <v>1</v>
      </c>
      <c r="Q18" s="235">
        <f>IF(N18&gt;0,C18,0)</f>
        <v>0</v>
      </c>
    </row>
    <row r="19" spans="1:17" ht="12.75">
      <c r="A19" s="232">
        <f aca="true" t="shared" si="12" ref="A19:A82">A18+1</f>
        <v>3</v>
      </c>
      <c r="B19" s="233">
        <f>'[1]Тип І.'!A8</f>
        <v>30</v>
      </c>
      <c r="C19" s="233">
        <f>'[1]Тип І.'!B8</f>
        <v>163</v>
      </c>
      <c r="D19" s="227">
        <f t="shared" si="7"/>
        <v>-2</v>
      </c>
      <c r="E19" s="234">
        <f t="shared" si="0"/>
        <v>-326</v>
      </c>
      <c r="F19" s="234">
        <f t="shared" si="1"/>
        <v>652</v>
      </c>
      <c r="G19" s="234">
        <f t="shared" si="2"/>
        <v>-1304</v>
      </c>
      <c r="H19" s="235">
        <f t="shared" si="3"/>
        <v>2608</v>
      </c>
      <c r="I19" s="236">
        <f t="shared" si="4"/>
        <v>0</v>
      </c>
      <c r="J19" s="234">
        <f t="shared" si="5"/>
        <v>0</v>
      </c>
      <c r="K19" s="237">
        <f t="shared" si="6"/>
        <v>1</v>
      </c>
      <c r="L19" s="236">
        <f t="shared" si="8"/>
        <v>267</v>
      </c>
      <c r="M19" s="234">
        <f t="shared" si="9"/>
        <v>0</v>
      </c>
      <c r="N19" s="234">
        <f>IF(M18=0,IF(L19&gt;0.5*C$15,B19+0.5*'[1]Тип І.'!H$12,0),0)</f>
        <v>0</v>
      </c>
      <c r="O19" s="227">
        <f t="shared" si="10"/>
        <v>0</v>
      </c>
      <c r="P19" s="230">
        <f t="shared" si="11"/>
        <v>1</v>
      </c>
      <c r="Q19" s="235">
        <f aca="true" t="shared" si="13" ref="Q19:Q82">IF(N19&gt;0,C19,0)</f>
        <v>0</v>
      </c>
    </row>
    <row r="20" spans="1:17" ht="12.75">
      <c r="A20" s="232">
        <f t="shared" si="12"/>
        <v>4</v>
      </c>
      <c r="B20" s="233">
        <f>'[1]Тип І.'!A9</f>
        <v>35</v>
      </c>
      <c r="C20" s="233">
        <f>'[1]Тип І.'!B9</f>
        <v>178</v>
      </c>
      <c r="D20" s="227">
        <f t="shared" si="7"/>
        <v>-1</v>
      </c>
      <c r="E20" s="234">
        <f t="shared" si="0"/>
        <v>-178</v>
      </c>
      <c r="F20" s="234">
        <f t="shared" si="1"/>
        <v>178</v>
      </c>
      <c r="G20" s="234">
        <f t="shared" si="2"/>
        <v>-178</v>
      </c>
      <c r="H20" s="235">
        <f t="shared" si="3"/>
        <v>178</v>
      </c>
      <c r="I20" s="236">
        <f t="shared" si="4"/>
        <v>35</v>
      </c>
      <c r="J20" s="234">
        <f t="shared" si="5"/>
        <v>4</v>
      </c>
      <c r="K20" s="237">
        <f t="shared" si="6"/>
        <v>1</v>
      </c>
      <c r="L20" s="236">
        <f t="shared" si="8"/>
        <v>445</v>
      </c>
      <c r="M20" s="234">
        <f t="shared" si="9"/>
        <v>0</v>
      </c>
      <c r="N20" s="234">
        <f>IF(M19=0,IF(L20&gt;0.5*C$15,B20+0.5*'[1]Тип І.'!H$12,0),0)</f>
        <v>0</v>
      </c>
      <c r="O20" s="227">
        <f t="shared" si="10"/>
        <v>0</v>
      </c>
      <c r="P20" s="230">
        <f t="shared" si="11"/>
        <v>1</v>
      </c>
      <c r="Q20" s="235">
        <f t="shared" si="13"/>
        <v>0</v>
      </c>
    </row>
    <row r="21" spans="1:17" ht="12.75">
      <c r="A21" s="232">
        <f t="shared" si="12"/>
        <v>5</v>
      </c>
      <c r="B21" s="233">
        <f>'[1]Тип І.'!A10</f>
        <v>40</v>
      </c>
      <c r="C21" s="233">
        <f>'[1]Тип І.'!B10</f>
        <v>176</v>
      </c>
      <c r="D21" s="227">
        <f t="shared" si="7"/>
        <v>0</v>
      </c>
      <c r="E21" s="234">
        <f t="shared" si="0"/>
        <v>0</v>
      </c>
      <c r="F21" s="234">
        <f t="shared" si="1"/>
        <v>0</v>
      </c>
      <c r="G21" s="234">
        <f t="shared" si="2"/>
        <v>0</v>
      </c>
      <c r="H21" s="235">
        <f t="shared" si="3"/>
        <v>0</v>
      </c>
      <c r="I21" s="236">
        <f t="shared" si="4"/>
        <v>0</v>
      </c>
      <c r="J21" s="234">
        <f t="shared" si="5"/>
        <v>0</v>
      </c>
      <c r="K21" s="237">
        <f t="shared" si="6"/>
        <v>1</v>
      </c>
      <c r="L21" s="236">
        <f t="shared" si="8"/>
        <v>621</v>
      </c>
      <c r="M21" s="234">
        <f t="shared" si="9"/>
        <v>40</v>
      </c>
      <c r="N21" s="234">
        <f>IF(M20=0,IF(L21&gt;0.5*C$15,B21+0.5*'[1]Тип І.'!H$12,0),0)</f>
        <v>42.5</v>
      </c>
      <c r="O21" s="227">
        <f t="shared" si="10"/>
        <v>5</v>
      </c>
      <c r="P21" s="230">
        <f t="shared" si="11"/>
        <v>1</v>
      </c>
      <c r="Q21" s="235">
        <f t="shared" si="13"/>
        <v>176</v>
      </c>
    </row>
    <row r="22" spans="1:17" ht="12.75">
      <c r="A22" s="232">
        <f t="shared" si="12"/>
        <v>6</v>
      </c>
      <c r="B22" s="233">
        <f>'[1]Тип І.'!A11</f>
        <v>45</v>
      </c>
      <c r="C22" s="233">
        <f>'[1]Тип І.'!B11</f>
        <v>132</v>
      </c>
      <c r="D22" s="227">
        <f t="shared" si="7"/>
        <v>1</v>
      </c>
      <c r="E22" s="234">
        <f t="shared" si="0"/>
        <v>132</v>
      </c>
      <c r="F22" s="234">
        <f t="shared" si="1"/>
        <v>132</v>
      </c>
      <c r="G22" s="234">
        <f t="shared" si="2"/>
        <v>132</v>
      </c>
      <c r="H22" s="235">
        <f t="shared" si="3"/>
        <v>132</v>
      </c>
      <c r="I22" s="236">
        <f t="shared" si="4"/>
        <v>0</v>
      </c>
      <c r="J22" s="234">
        <f t="shared" si="5"/>
        <v>0</v>
      </c>
      <c r="K22" s="237">
        <f t="shared" si="6"/>
        <v>1</v>
      </c>
      <c r="L22" s="236">
        <f t="shared" si="8"/>
        <v>753</v>
      </c>
      <c r="M22" s="234">
        <f t="shared" si="9"/>
        <v>45</v>
      </c>
      <c r="N22" s="234">
        <f>IF(M21=0,IF(L22&gt;0.5*C$15,B22+0.5*'[1]Тип І.'!H$12,0),0)</f>
        <v>0</v>
      </c>
      <c r="O22" s="227">
        <f t="shared" si="10"/>
        <v>0</v>
      </c>
      <c r="P22" s="230">
        <f t="shared" si="11"/>
        <v>1</v>
      </c>
      <c r="Q22" s="235">
        <f t="shared" si="13"/>
        <v>0</v>
      </c>
    </row>
    <row r="23" spans="1:17" ht="12.75">
      <c r="A23" s="232">
        <f t="shared" si="12"/>
        <v>7</v>
      </c>
      <c r="B23" s="233">
        <f>'[1]Тип І.'!A12</f>
        <v>50</v>
      </c>
      <c r="C23" s="233">
        <f>'[1]Тип І.'!B12</f>
        <v>100</v>
      </c>
      <c r="D23" s="227">
        <f t="shared" si="7"/>
        <v>2</v>
      </c>
      <c r="E23" s="234">
        <f t="shared" si="0"/>
        <v>200</v>
      </c>
      <c r="F23" s="234">
        <f t="shared" si="1"/>
        <v>400</v>
      </c>
      <c r="G23" s="234">
        <f t="shared" si="2"/>
        <v>800</v>
      </c>
      <c r="H23" s="235">
        <f t="shared" si="3"/>
        <v>1600</v>
      </c>
      <c r="I23" s="236">
        <f t="shared" si="4"/>
        <v>0</v>
      </c>
      <c r="J23" s="234">
        <f t="shared" si="5"/>
        <v>0</v>
      </c>
      <c r="K23" s="237">
        <f t="shared" si="6"/>
        <v>1</v>
      </c>
      <c r="L23" s="236">
        <f t="shared" si="8"/>
        <v>853</v>
      </c>
      <c r="M23" s="234">
        <f t="shared" si="9"/>
        <v>50</v>
      </c>
      <c r="N23" s="234">
        <f>IF(M22=0,IF(L23&gt;0.5*C$15,B23+0.5*'[1]Тип І.'!H$12,0),0)</f>
        <v>0</v>
      </c>
      <c r="O23" s="227">
        <f t="shared" si="10"/>
        <v>0</v>
      </c>
      <c r="P23" s="230">
        <f t="shared" si="11"/>
        <v>1</v>
      </c>
      <c r="Q23" s="235">
        <f t="shared" si="13"/>
        <v>0</v>
      </c>
    </row>
    <row r="24" spans="1:17" ht="12.75">
      <c r="A24" s="232">
        <f t="shared" si="12"/>
        <v>8</v>
      </c>
      <c r="B24" s="233">
        <f>'[1]Тип І.'!A13</f>
        <v>55</v>
      </c>
      <c r="C24" s="233">
        <f>'[1]Тип І.'!B13</f>
        <v>67</v>
      </c>
      <c r="D24" s="227">
        <f t="shared" si="7"/>
        <v>3</v>
      </c>
      <c r="E24" s="234">
        <f t="shared" si="0"/>
        <v>201</v>
      </c>
      <c r="F24" s="234">
        <f t="shared" si="1"/>
        <v>603</v>
      </c>
      <c r="G24" s="234">
        <f t="shared" si="2"/>
        <v>1809</v>
      </c>
      <c r="H24" s="235">
        <f t="shared" si="3"/>
        <v>5427</v>
      </c>
      <c r="I24" s="236">
        <f t="shared" si="4"/>
        <v>0</v>
      </c>
      <c r="J24" s="234">
        <f t="shared" si="5"/>
        <v>0</v>
      </c>
      <c r="K24" s="237">
        <f t="shared" si="6"/>
        <v>1</v>
      </c>
      <c r="L24" s="236">
        <f t="shared" si="8"/>
        <v>920</v>
      </c>
      <c r="M24" s="234">
        <f t="shared" si="9"/>
        <v>55</v>
      </c>
      <c r="N24" s="234">
        <f>IF(M23=0,IF(L24&gt;0.5*C$15,B24+0.5*'[1]Тип І.'!H$12,0),0)</f>
        <v>0</v>
      </c>
      <c r="O24" s="227">
        <f t="shared" si="10"/>
        <v>0</v>
      </c>
      <c r="P24" s="230">
        <f t="shared" si="11"/>
        <v>1</v>
      </c>
      <c r="Q24" s="235">
        <f t="shared" si="13"/>
        <v>0</v>
      </c>
    </row>
    <row r="25" spans="1:17" ht="12.75">
      <c r="A25" s="232">
        <f t="shared" si="12"/>
        <v>9</v>
      </c>
      <c r="B25" s="233">
        <f>'[1]Тип І.'!A14</f>
        <v>60</v>
      </c>
      <c r="C25" s="233">
        <f>'[1]Тип І.'!B14</f>
        <v>40</v>
      </c>
      <c r="D25" s="227">
        <f t="shared" si="7"/>
        <v>4</v>
      </c>
      <c r="E25" s="234">
        <f t="shared" si="0"/>
        <v>160</v>
      </c>
      <c r="F25" s="234">
        <f t="shared" si="1"/>
        <v>640</v>
      </c>
      <c r="G25" s="234">
        <f t="shared" si="2"/>
        <v>2560</v>
      </c>
      <c r="H25" s="235">
        <f t="shared" si="3"/>
        <v>10240</v>
      </c>
      <c r="I25" s="236">
        <f t="shared" si="4"/>
        <v>0</v>
      </c>
      <c r="J25" s="234">
        <f t="shared" si="5"/>
        <v>0</v>
      </c>
      <c r="K25" s="237">
        <f t="shared" si="6"/>
        <v>1</v>
      </c>
      <c r="L25" s="236">
        <f t="shared" si="8"/>
        <v>960</v>
      </c>
      <c r="M25" s="234">
        <f t="shared" si="9"/>
        <v>60</v>
      </c>
      <c r="N25" s="234">
        <f>IF(M24=0,IF(L25&gt;0.5*C$15,B25+0.5*'[1]Тип І.'!H$12,0),0)</f>
        <v>0</v>
      </c>
      <c r="O25" s="227">
        <f t="shared" si="10"/>
        <v>0</v>
      </c>
      <c r="P25" s="230">
        <f t="shared" si="11"/>
        <v>1</v>
      </c>
      <c r="Q25" s="235">
        <f t="shared" si="13"/>
        <v>0</v>
      </c>
    </row>
    <row r="26" spans="1:17" ht="12.75">
      <c r="A26" s="232">
        <f t="shared" si="12"/>
        <v>10</v>
      </c>
      <c r="B26" s="233">
        <f>'[1]Тип І.'!A15</f>
        <v>65</v>
      </c>
      <c r="C26" s="233">
        <f>'[1]Тип І.'!B15</f>
        <v>24</v>
      </c>
      <c r="D26" s="227">
        <f t="shared" si="7"/>
        <v>5</v>
      </c>
      <c r="E26" s="234">
        <f t="shared" si="0"/>
        <v>120</v>
      </c>
      <c r="F26" s="234">
        <f t="shared" si="1"/>
        <v>600</v>
      </c>
      <c r="G26" s="234">
        <f t="shared" si="2"/>
        <v>3000</v>
      </c>
      <c r="H26" s="235">
        <f t="shared" si="3"/>
        <v>15000</v>
      </c>
      <c r="I26" s="236">
        <f t="shared" si="4"/>
        <v>0</v>
      </c>
      <c r="J26" s="234">
        <f t="shared" si="5"/>
        <v>0</v>
      </c>
      <c r="K26" s="237">
        <f t="shared" si="6"/>
        <v>1</v>
      </c>
      <c r="L26" s="236">
        <f t="shared" si="8"/>
        <v>984</v>
      </c>
      <c r="M26" s="234">
        <f t="shared" si="9"/>
        <v>65</v>
      </c>
      <c r="N26" s="234">
        <f>IF(M25=0,IF(L26&gt;0.5*C$15,B26+0.5*'[1]Тип І.'!H$12,0),0)</f>
        <v>0</v>
      </c>
      <c r="O26" s="227">
        <f t="shared" si="10"/>
        <v>0</v>
      </c>
      <c r="P26" s="230">
        <f t="shared" si="11"/>
        <v>1</v>
      </c>
      <c r="Q26" s="235">
        <f t="shared" si="13"/>
        <v>0</v>
      </c>
    </row>
    <row r="27" spans="1:17" ht="12.75">
      <c r="A27" s="232">
        <f t="shared" si="12"/>
        <v>11</v>
      </c>
      <c r="B27" s="233">
        <f>'[1]Тип І.'!A16</f>
        <v>70</v>
      </c>
      <c r="C27" s="233">
        <f>'[1]Тип І.'!B16</f>
        <v>12</v>
      </c>
      <c r="D27" s="227">
        <f t="shared" si="7"/>
        <v>6</v>
      </c>
      <c r="E27" s="234">
        <f t="shared" si="0"/>
        <v>72</v>
      </c>
      <c r="F27" s="234">
        <f t="shared" si="1"/>
        <v>432</v>
      </c>
      <c r="G27" s="234">
        <f t="shared" si="2"/>
        <v>2592</v>
      </c>
      <c r="H27" s="235">
        <f t="shared" si="3"/>
        <v>15552</v>
      </c>
      <c r="I27" s="236">
        <f t="shared" si="4"/>
        <v>0</v>
      </c>
      <c r="J27" s="234">
        <f t="shared" si="5"/>
        <v>0</v>
      </c>
      <c r="K27" s="237">
        <f t="shared" si="6"/>
        <v>1</v>
      </c>
      <c r="L27" s="236">
        <f t="shared" si="8"/>
        <v>996</v>
      </c>
      <c r="M27" s="234">
        <f t="shared" si="9"/>
        <v>70</v>
      </c>
      <c r="N27" s="234">
        <f>IF(M26=0,IF(L27&gt;0.5*C$15,B27+0.5*'[1]Тип І.'!H$12,0),0)</f>
        <v>0</v>
      </c>
      <c r="O27" s="227">
        <f t="shared" si="10"/>
        <v>0</v>
      </c>
      <c r="P27" s="230">
        <f t="shared" si="11"/>
        <v>1</v>
      </c>
      <c r="Q27" s="235">
        <f t="shared" si="13"/>
        <v>0</v>
      </c>
    </row>
    <row r="28" spans="1:17" ht="12.75">
      <c r="A28" s="232">
        <f t="shared" si="12"/>
        <v>12</v>
      </c>
      <c r="B28" s="233">
        <f>'[1]Тип І.'!A17</f>
        <v>75</v>
      </c>
      <c r="C28" s="233">
        <f>'[1]Тип І.'!B17</f>
        <v>3</v>
      </c>
      <c r="D28" s="227">
        <f t="shared" si="7"/>
        <v>7</v>
      </c>
      <c r="E28" s="234">
        <f t="shared" si="0"/>
        <v>21</v>
      </c>
      <c r="F28" s="234">
        <f t="shared" si="1"/>
        <v>147</v>
      </c>
      <c r="G28" s="234">
        <f t="shared" si="2"/>
        <v>1029</v>
      </c>
      <c r="H28" s="235">
        <f t="shared" si="3"/>
        <v>7203</v>
      </c>
      <c r="I28" s="236">
        <f t="shared" si="4"/>
        <v>0</v>
      </c>
      <c r="J28" s="234">
        <f t="shared" si="5"/>
        <v>0</v>
      </c>
      <c r="K28" s="237">
        <f t="shared" si="6"/>
        <v>1</v>
      </c>
      <c r="L28" s="236">
        <f t="shared" si="8"/>
        <v>999</v>
      </c>
      <c r="M28" s="234">
        <f t="shared" si="9"/>
        <v>75</v>
      </c>
      <c r="N28" s="234">
        <f>IF(M27=0,IF(L28&gt;0.5*C$15,B28+0.5*'[1]Тип І.'!H$12,0),0)</f>
        <v>0</v>
      </c>
      <c r="O28" s="227">
        <f t="shared" si="10"/>
        <v>0</v>
      </c>
      <c r="P28" s="230">
        <f t="shared" si="11"/>
        <v>1</v>
      </c>
      <c r="Q28" s="235">
        <f t="shared" si="13"/>
        <v>0</v>
      </c>
    </row>
    <row r="29" spans="1:17" ht="12.75">
      <c r="A29" s="232">
        <f t="shared" si="12"/>
        <v>13</v>
      </c>
      <c r="B29" s="233">
        <f>'[1]Тип І.'!A18</f>
        <v>80</v>
      </c>
      <c r="C29" s="233">
        <f>'[1]Тип І.'!B18</f>
        <v>1</v>
      </c>
      <c r="D29" s="227">
        <f t="shared" si="7"/>
        <v>8</v>
      </c>
      <c r="E29" s="234">
        <f t="shared" si="0"/>
        <v>8</v>
      </c>
      <c r="F29" s="234">
        <f t="shared" si="1"/>
        <v>64</v>
      </c>
      <c r="G29" s="234">
        <f t="shared" si="2"/>
        <v>512</v>
      </c>
      <c r="H29" s="235">
        <f t="shared" si="3"/>
        <v>4096</v>
      </c>
      <c r="I29" s="236">
        <f t="shared" si="4"/>
        <v>0</v>
      </c>
      <c r="J29" s="234">
        <f t="shared" si="5"/>
        <v>0</v>
      </c>
      <c r="K29" s="237">
        <f t="shared" si="6"/>
        <v>1</v>
      </c>
      <c r="L29" s="236">
        <f t="shared" si="8"/>
        <v>1000</v>
      </c>
      <c r="M29" s="234">
        <f t="shared" si="9"/>
        <v>80</v>
      </c>
      <c r="N29" s="234">
        <f>IF(M28=0,IF(L29&gt;0.5*C$15,B29+0.5*'[1]Тип І.'!H$12,0),0)</f>
        <v>0</v>
      </c>
      <c r="O29" s="227">
        <f t="shared" si="10"/>
        <v>0</v>
      </c>
      <c r="P29" s="230">
        <f t="shared" si="11"/>
        <v>1</v>
      </c>
      <c r="Q29" s="235">
        <f t="shared" si="13"/>
        <v>0</v>
      </c>
    </row>
    <row r="30" spans="1:17" ht="12.75">
      <c r="A30" s="232">
        <f t="shared" si="12"/>
        <v>14</v>
      </c>
      <c r="B30" s="233">
        <f>'[1]Тип І.'!A19</f>
        <v>0</v>
      </c>
      <c r="C30" s="233">
        <f>'[1]Тип І.'!B19</f>
        <v>0</v>
      </c>
      <c r="D30" s="227">
        <f t="shared" si="7"/>
        <v>0</v>
      </c>
      <c r="E30" s="234">
        <f t="shared" si="0"/>
        <v>0</v>
      </c>
      <c r="F30" s="234">
        <f t="shared" si="1"/>
        <v>0</v>
      </c>
      <c r="G30" s="234">
        <f t="shared" si="2"/>
        <v>0</v>
      </c>
      <c r="H30" s="235">
        <f t="shared" si="3"/>
        <v>0</v>
      </c>
      <c r="I30" s="236">
        <f t="shared" si="4"/>
        <v>0</v>
      </c>
      <c r="J30" s="234">
        <f t="shared" si="5"/>
        <v>0</v>
      </c>
      <c r="K30" s="237">
        <f t="shared" si="6"/>
        <v>0</v>
      </c>
      <c r="L30" s="236">
        <f t="shared" si="8"/>
        <v>1000</v>
      </c>
      <c r="M30" s="234">
        <f t="shared" si="9"/>
        <v>0</v>
      </c>
      <c r="N30" s="234">
        <f>IF(M29=0,IF(L30&gt;0.5*C$15,B30+0.5*'[1]Тип І.'!H$12,0),0)</f>
        <v>0</v>
      </c>
      <c r="O30" s="227">
        <f t="shared" si="10"/>
        <v>0</v>
      </c>
      <c r="P30" s="230">
        <f t="shared" si="11"/>
        <v>0</v>
      </c>
      <c r="Q30" s="235">
        <f t="shared" si="13"/>
        <v>0</v>
      </c>
    </row>
    <row r="31" spans="1:17" ht="12.75">
      <c r="A31" s="232">
        <f t="shared" si="12"/>
        <v>15</v>
      </c>
      <c r="B31" s="233">
        <f>'[1]Тип І.'!A20</f>
        <v>0</v>
      </c>
      <c r="C31" s="233">
        <f>'[1]Тип І.'!B20</f>
        <v>0</v>
      </c>
      <c r="D31" s="227">
        <f t="shared" si="7"/>
        <v>0</v>
      </c>
      <c r="E31" s="234">
        <f t="shared" si="0"/>
        <v>0</v>
      </c>
      <c r="F31" s="234">
        <f t="shared" si="1"/>
        <v>0</v>
      </c>
      <c r="G31" s="234">
        <f t="shared" si="2"/>
        <v>0</v>
      </c>
      <c r="H31" s="235">
        <f t="shared" si="3"/>
        <v>0</v>
      </c>
      <c r="I31" s="236">
        <f t="shared" si="4"/>
        <v>0</v>
      </c>
      <c r="J31" s="234">
        <f t="shared" si="5"/>
        <v>0</v>
      </c>
      <c r="K31" s="237">
        <f t="shared" si="6"/>
        <v>0</v>
      </c>
      <c r="L31" s="236">
        <f t="shared" si="8"/>
        <v>0</v>
      </c>
      <c r="M31" s="234">
        <f t="shared" si="9"/>
        <v>0</v>
      </c>
      <c r="N31" s="234">
        <f>IF(M30=0,IF(L31&gt;0.5*C$15,B31+0.5*'[1]Тип І.'!H$12,0),0)</f>
        <v>0</v>
      </c>
      <c r="O31" s="227">
        <f t="shared" si="10"/>
        <v>0</v>
      </c>
      <c r="P31" s="230">
        <f t="shared" si="11"/>
        <v>0</v>
      </c>
      <c r="Q31" s="235">
        <f t="shared" si="13"/>
        <v>0</v>
      </c>
    </row>
    <row r="32" spans="1:17" ht="12.75">
      <c r="A32" s="232">
        <f t="shared" si="12"/>
        <v>16</v>
      </c>
      <c r="B32" s="233">
        <f>'[1]Тип І.'!A21</f>
        <v>0</v>
      </c>
      <c r="C32" s="233">
        <f>'[1]Тип І.'!B21</f>
        <v>0</v>
      </c>
      <c r="D32" s="227">
        <f t="shared" si="7"/>
        <v>0</v>
      </c>
      <c r="E32" s="234">
        <f t="shared" si="0"/>
        <v>0</v>
      </c>
      <c r="F32" s="234">
        <f t="shared" si="1"/>
        <v>0</v>
      </c>
      <c r="G32" s="234">
        <f t="shared" si="2"/>
        <v>0</v>
      </c>
      <c r="H32" s="235">
        <f t="shared" si="3"/>
        <v>0</v>
      </c>
      <c r="I32" s="236">
        <f t="shared" si="4"/>
        <v>0</v>
      </c>
      <c r="J32" s="234">
        <f t="shared" si="5"/>
        <v>0</v>
      </c>
      <c r="K32" s="237">
        <f t="shared" si="6"/>
        <v>0</v>
      </c>
      <c r="L32" s="236">
        <f t="shared" si="8"/>
        <v>0</v>
      </c>
      <c r="M32" s="234">
        <f t="shared" si="9"/>
        <v>0</v>
      </c>
      <c r="N32" s="234">
        <f>IF(M31=0,IF(L32&gt;0.5*C$15,B32+0.5*'[1]Тип І.'!H$12,0),0)</f>
        <v>0</v>
      </c>
      <c r="O32" s="227">
        <f t="shared" si="10"/>
        <v>0</v>
      </c>
      <c r="P32" s="230">
        <f t="shared" si="11"/>
        <v>0</v>
      </c>
      <c r="Q32" s="235">
        <f t="shared" si="13"/>
        <v>0</v>
      </c>
    </row>
    <row r="33" spans="1:17" ht="12.75">
      <c r="A33" s="232">
        <f t="shared" si="12"/>
        <v>17</v>
      </c>
      <c r="B33" s="233">
        <f>'[1]Тип І.'!A22</f>
        <v>0</v>
      </c>
      <c r="C33" s="233">
        <f>'[1]Тип І.'!B22</f>
        <v>0</v>
      </c>
      <c r="D33" s="227">
        <f t="shared" si="7"/>
        <v>0</v>
      </c>
      <c r="E33" s="234">
        <f t="shared" si="0"/>
        <v>0</v>
      </c>
      <c r="F33" s="234">
        <f t="shared" si="1"/>
        <v>0</v>
      </c>
      <c r="G33" s="234">
        <f t="shared" si="2"/>
        <v>0</v>
      </c>
      <c r="H33" s="235">
        <f t="shared" si="3"/>
        <v>0</v>
      </c>
      <c r="I33" s="236">
        <f t="shared" si="4"/>
        <v>0</v>
      </c>
      <c r="J33" s="234">
        <f t="shared" si="5"/>
        <v>0</v>
      </c>
      <c r="K33" s="237">
        <f t="shared" si="6"/>
        <v>0</v>
      </c>
      <c r="L33" s="236">
        <f t="shared" si="8"/>
        <v>0</v>
      </c>
      <c r="M33" s="234">
        <f t="shared" si="9"/>
        <v>0</v>
      </c>
      <c r="N33" s="234">
        <f>IF(M32=0,IF(L33&gt;0.5*C$15,B33+0.5*'[1]Тип І.'!H$12,0),0)</f>
        <v>0</v>
      </c>
      <c r="O33" s="227">
        <f t="shared" si="10"/>
        <v>0</v>
      </c>
      <c r="P33" s="230">
        <f t="shared" si="11"/>
        <v>0</v>
      </c>
      <c r="Q33" s="235">
        <f t="shared" si="13"/>
        <v>0</v>
      </c>
    </row>
    <row r="34" spans="1:17" ht="12.75">
      <c r="A34" s="232">
        <f t="shared" si="12"/>
        <v>18</v>
      </c>
      <c r="B34" s="233">
        <f>'[1]Тип І.'!A23</f>
        <v>0</v>
      </c>
      <c r="C34" s="233">
        <f>'[1]Тип І.'!B23</f>
        <v>0</v>
      </c>
      <c r="D34" s="227">
        <f t="shared" si="7"/>
        <v>0</v>
      </c>
      <c r="E34" s="234">
        <f t="shared" si="0"/>
        <v>0</v>
      </c>
      <c r="F34" s="234">
        <f t="shared" si="1"/>
        <v>0</v>
      </c>
      <c r="G34" s="234">
        <f t="shared" si="2"/>
        <v>0</v>
      </c>
      <c r="H34" s="235">
        <f t="shared" si="3"/>
        <v>0</v>
      </c>
      <c r="I34" s="236">
        <f t="shared" si="4"/>
        <v>0</v>
      </c>
      <c r="J34" s="234">
        <f t="shared" si="5"/>
        <v>0</v>
      </c>
      <c r="K34" s="237">
        <f t="shared" si="6"/>
        <v>0</v>
      </c>
      <c r="L34" s="236">
        <f t="shared" si="8"/>
        <v>0</v>
      </c>
      <c r="M34" s="234">
        <f t="shared" si="9"/>
        <v>0</v>
      </c>
      <c r="N34" s="234">
        <f>IF(M33=0,IF(L34&gt;0.5*C$15,B34+0.5*'[1]Тип І.'!H$12,0),0)</f>
        <v>0</v>
      </c>
      <c r="O34" s="227">
        <f t="shared" si="10"/>
        <v>0</v>
      </c>
      <c r="P34" s="230">
        <f t="shared" si="11"/>
        <v>0</v>
      </c>
      <c r="Q34" s="235">
        <f t="shared" si="13"/>
        <v>0</v>
      </c>
    </row>
    <row r="35" spans="1:17" ht="12.75">
      <c r="A35" s="232">
        <f t="shared" si="12"/>
        <v>19</v>
      </c>
      <c r="B35" s="233">
        <f>'[1]Тип І.'!A24</f>
        <v>0</v>
      </c>
      <c r="C35" s="233">
        <f>'[1]Тип І.'!B24</f>
        <v>0</v>
      </c>
      <c r="D35" s="227">
        <f t="shared" si="7"/>
        <v>0</v>
      </c>
      <c r="E35" s="234">
        <f t="shared" si="0"/>
        <v>0</v>
      </c>
      <c r="F35" s="234">
        <f t="shared" si="1"/>
        <v>0</v>
      </c>
      <c r="G35" s="234">
        <f t="shared" si="2"/>
        <v>0</v>
      </c>
      <c r="H35" s="235">
        <f t="shared" si="3"/>
        <v>0</v>
      </c>
      <c r="I35" s="236">
        <f t="shared" si="4"/>
        <v>0</v>
      </c>
      <c r="J35" s="234">
        <f t="shared" si="5"/>
        <v>0</v>
      </c>
      <c r="K35" s="237">
        <f t="shared" si="6"/>
        <v>0</v>
      </c>
      <c r="L35" s="236">
        <f t="shared" si="8"/>
        <v>0</v>
      </c>
      <c r="M35" s="234">
        <f t="shared" si="9"/>
        <v>0</v>
      </c>
      <c r="N35" s="234">
        <f>IF(M34=0,IF(L35&gt;0.5*C$15,B35+0.5*'[1]Тип І.'!H$12,0),0)</f>
        <v>0</v>
      </c>
      <c r="O35" s="227">
        <f t="shared" si="10"/>
        <v>0</v>
      </c>
      <c r="P35" s="230">
        <f t="shared" si="11"/>
        <v>0</v>
      </c>
      <c r="Q35" s="235">
        <f t="shared" si="13"/>
        <v>0</v>
      </c>
    </row>
    <row r="36" spans="1:17" ht="12.75">
      <c r="A36" s="232">
        <f t="shared" si="12"/>
        <v>20</v>
      </c>
      <c r="B36" s="233">
        <f>'[1]Тип І.'!A25</f>
        <v>0</v>
      </c>
      <c r="C36" s="233">
        <f>'[1]Тип І.'!B25</f>
        <v>0</v>
      </c>
      <c r="D36" s="227">
        <f t="shared" si="7"/>
        <v>0</v>
      </c>
      <c r="E36" s="234">
        <f t="shared" si="0"/>
        <v>0</v>
      </c>
      <c r="F36" s="234">
        <f t="shared" si="1"/>
        <v>0</v>
      </c>
      <c r="G36" s="234">
        <f t="shared" si="2"/>
        <v>0</v>
      </c>
      <c r="H36" s="235">
        <f t="shared" si="3"/>
        <v>0</v>
      </c>
      <c r="I36" s="236">
        <f t="shared" si="4"/>
        <v>0</v>
      </c>
      <c r="J36" s="234">
        <f t="shared" si="5"/>
        <v>0</v>
      </c>
      <c r="K36" s="237">
        <f t="shared" si="6"/>
        <v>0</v>
      </c>
      <c r="L36" s="236">
        <f t="shared" si="8"/>
        <v>0</v>
      </c>
      <c r="M36" s="234">
        <f t="shared" si="9"/>
        <v>0</v>
      </c>
      <c r="N36" s="234">
        <f>IF(M35=0,IF(L36&gt;0.5*C$15,B36+0.5*'[1]Тип І.'!H$12,0),0)</f>
        <v>0</v>
      </c>
      <c r="O36" s="227">
        <f t="shared" si="10"/>
        <v>0</v>
      </c>
      <c r="P36" s="230">
        <f t="shared" si="11"/>
        <v>0</v>
      </c>
      <c r="Q36" s="235">
        <f t="shared" si="13"/>
        <v>0</v>
      </c>
    </row>
    <row r="37" spans="1:17" ht="12.75">
      <c r="A37" s="232">
        <f t="shared" si="12"/>
        <v>21</v>
      </c>
      <c r="B37" s="233">
        <f>'[1]Тип І.'!A26</f>
        <v>0</v>
      </c>
      <c r="C37" s="233">
        <f>'[1]Тип І.'!B26</f>
        <v>0</v>
      </c>
      <c r="D37" s="227">
        <f t="shared" si="7"/>
        <v>0</v>
      </c>
      <c r="E37" s="234">
        <f t="shared" si="0"/>
        <v>0</v>
      </c>
      <c r="F37" s="234">
        <f t="shared" si="1"/>
        <v>0</v>
      </c>
      <c r="G37" s="234">
        <f t="shared" si="2"/>
        <v>0</v>
      </c>
      <c r="H37" s="235">
        <f t="shared" si="3"/>
        <v>0</v>
      </c>
      <c r="I37" s="236">
        <f t="shared" si="4"/>
        <v>0</v>
      </c>
      <c r="J37" s="234">
        <f t="shared" si="5"/>
        <v>0</v>
      </c>
      <c r="K37" s="237">
        <f t="shared" si="6"/>
        <v>0</v>
      </c>
      <c r="L37" s="236">
        <f t="shared" si="8"/>
        <v>0</v>
      </c>
      <c r="M37" s="234">
        <f t="shared" si="9"/>
        <v>0</v>
      </c>
      <c r="N37" s="234">
        <f>IF(M36=0,IF(L37&gt;0.5*C$15,B37+0.5*'[1]Тип І.'!H$12,0),0)</f>
        <v>0</v>
      </c>
      <c r="O37" s="227">
        <f t="shared" si="10"/>
        <v>0</v>
      </c>
      <c r="P37" s="230">
        <f t="shared" si="11"/>
        <v>0</v>
      </c>
      <c r="Q37" s="235">
        <f t="shared" si="13"/>
        <v>0</v>
      </c>
    </row>
    <row r="38" spans="1:17" ht="12.75">
      <c r="A38" s="232">
        <f t="shared" si="12"/>
        <v>22</v>
      </c>
      <c r="B38" s="233">
        <f>'[1]Тип І.'!A27</f>
        <v>0</v>
      </c>
      <c r="C38" s="233">
        <f>'[1]Тип І.'!B27</f>
        <v>0</v>
      </c>
      <c r="D38" s="227">
        <f t="shared" si="7"/>
        <v>0</v>
      </c>
      <c r="E38" s="234">
        <f t="shared" si="0"/>
        <v>0</v>
      </c>
      <c r="F38" s="234">
        <f t="shared" si="1"/>
        <v>0</v>
      </c>
      <c r="G38" s="234">
        <f t="shared" si="2"/>
        <v>0</v>
      </c>
      <c r="H38" s="235">
        <f t="shared" si="3"/>
        <v>0</v>
      </c>
      <c r="I38" s="236">
        <f t="shared" si="4"/>
        <v>0</v>
      </c>
      <c r="J38" s="234">
        <f t="shared" si="5"/>
        <v>0</v>
      </c>
      <c r="K38" s="237">
        <f t="shared" si="6"/>
        <v>0</v>
      </c>
      <c r="L38" s="236">
        <f t="shared" si="8"/>
        <v>0</v>
      </c>
      <c r="M38" s="234">
        <f t="shared" si="9"/>
        <v>0</v>
      </c>
      <c r="N38" s="234">
        <f>IF(M37=0,IF(L38&gt;0.5*C$15,B38+0.5*'[1]Тип І.'!H$12,0),0)</f>
        <v>0</v>
      </c>
      <c r="O38" s="227">
        <f t="shared" si="10"/>
        <v>0</v>
      </c>
      <c r="P38" s="230">
        <f t="shared" si="11"/>
        <v>0</v>
      </c>
      <c r="Q38" s="235">
        <f t="shared" si="13"/>
        <v>0</v>
      </c>
    </row>
    <row r="39" spans="1:17" ht="12.75">
      <c r="A39" s="232">
        <f t="shared" si="12"/>
        <v>23</v>
      </c>
      <c r="B39" s="233">
        <f>'[1]Тип І.'!A28</f>
        <v>0</v>
      </c>
      <c r="C39" s="233">
        <f>'[1]Тип І.'!B28</f>
        <v>0</v>
      </c>
      <c r="D39" s="227">
        <f t="shared" si="7"/>
        <v>0</v>
      </c>
      <c r="E39" s="234">
        <f t="shared" si="0"/>
        <v>0</v>
      </c>
      <c r="F39" s="234">
        <f t="shared" si="1"/>
        <v>0</v>
      </c>
      <c r="G39" s="234">
        <f t="shared" si="2"/>
        <v>0</v>
      </c>
      <c r="H39" s="235">
        <f t="shared" si="3"/>
        <v>0</v>
      </c>
      <c r="I39" s="236">
        <f t="shared" si="4"/>
        <v>0</v>
      </c>
      <c r="J39" s="234">
        <f t="shared" si="5"/>
        <v>0</v>
      </c>
      <c r="K39" s="237">
        <f t="shared" si="6"/>
        <v>0</v>
      </c>
      <c r="L39" s="236">
        <f t="shared" si="8"/>
        <v>0</v>
      </c>
      <c r="M39" s="234">
        <f t="shared" si="9"/>
        <v>0</v>
      </c>
      <c r="N39" s="234">
        <f>IF(M38=0,IF(L39&gt;0.5*C$15,B39+0.5*'[1]Тип І.'!H$12,0),0)</f>
        <v>0</v>
      </c>
      <c r="O39" s="227">
        <f t="shared" si="10"/>
        <v>0</v>
      </c>
      <c r="P39" s="230">
        <f t="shared" si="11"/>
        <v>0</v>
      </c>
      <c r="Q39" s="235">
        <f t="shared" si="13"/>
        <v>0</v>
      </c>
    </row>
    <row r="40" spans="1:17" ht="12.75">
      <c r="A40" s="232">
        <f t="shared" si="12"/>
        <v>24</v>
      </c>
      <c r="B40" s="233">
        <f>'[1]Тип І.'!A29</f>
        <v>0</v>
      </c>
      <c r="C40" s="233">
        <f>'[1]Тип І.'!B29</f>
        <v>0</v>
      </c>
      <c r="D40" s="227">
        <f t="shared" si="7"/>
        <v>0</v>
      </c>
      <c r="E40" s="234">
        <f t="shared" si="0"/>
        <v>0</v>
      </c>
      <c r="F40" s="234">
        <f t="shared" si="1"/>
        <v>0</v>
      </c>
      <c r="G40" s="234">
        <f t="shared" si="2"/>
        <v>0</v>
      </c>
      <c r="H40" s="235">
        <f t="shared" si="3"/>
        <v>0</v>
      </c>
      <c r="I40" s="236">
        <f t="shared" si="4"/>
        <v>0</v>
      </c>
      <c r="J40" s="234">
        <f t="shared" si="5"/>
        <v>0</v>
      </c>
      <c r="K40" s="237">
        <f t="shared" si="6"/>
        <v>0</v>
      </c>
      <c r="L40" s="236">
        <f t="shared" si="8"/>
        <v>0</v>
      </c>
      <c r="M40" s="234">
        <f t="shared" si="9"/>
        <v>0</v>
      </c>
      <c r="N40" s="234">
        <f>IF(M39=0,IF(L40&gt;0.5*C$15,B40+0.5*'[1]Тип І.'!H$12,0),0)</f>
        <v>0</v>
      </c>
      <c r="O40" s="227">
        <f t="shared" si="10"/>
        <v>0</v>
      </c>
      <c r="P40" s="230">
        <f t="shared" si="11"/>
        <v>0</v>
      </c>
      <c r="Q40" s="235">
        <f t="shared" si="13"/>
        <v>0</v>
      </c>
    </row>
    <row r="41" spans="1:17" ht="12.75">
      <c r="A41" s="232">
        <f t="shared" si="12"/>
        <v>25</v>
      </c>
      <c r="B41" s="233">
        <f>'[1]Тип І.'!A30</f>
        <v>0</v>
      </c>
      <c r="C41" s="233">
        <f>'[1]Тип І.'!B30</f>
        <v>0</v>
      </c>
      <c r="D41" s="227">
        <f t="shared" si="7"/>
        <v>0</v>
      </c>
      <c r="E41" s="234">
        <f t="shared" si="0"/>
        <v>0</v>
      </c>
      <c r="F41" s="234">
        <f t="shared" si="1"/>
        <v>0</v>
      </c>
      <c r="G41" s="234">
        <f t="shared" si="2"/>
        <v>0</v>
      </c>
      <c r="H41" s="235">
        <f t="shared" si="3"/>
        <v>0</v>
      </c>
      <c r="I41" s="236">
        <f t="shared" si="4"/>
        <v>0</v>
      </c>
      <c r="J41" s="234">
        <f t="shared" si="5"/>
        <v>0</v>
      </c>
      <c r="K41" s="237">
        <f t="shared" si="6"/>
        <v>0</v>
      </c>
      <c r="L41" s="236">
        <f t="shared" si="8"/>
        <v>0</v>
      </c>
      <c r="M41" s="234">
        <f t="shared" si="9"/>
        <v>0</v>
      </c>
      <c r="N41" s="234">
        <f>IF(M40=0,IF(L41&gt;0.5*C$15,B41+0.5*'[1]Тип І.'!H$12,0),0)</f>
        <v>0</v>
      </c>
      <c r="O41" s="227">
        <f t="shared" si="10"/>
        <v>0</v>
      </c>
      <c r="P41" s="230">
        <f t="shared" si="11"/>
        <v>0</v>
      </c>
      <c r="Q41" s="235">
        <f t="shared" si="13"/>
        <v>0</v>
      </c>
    </row>
    <row r="42" spans="1:17" ht="12.75">
      <c r="A42" s="232">
        <f t="shared" si="12"/>
        <v>26</v>
      </c>
      <c r="B42" s="233">
        <f>'[1]Тип І.'!A31</f>
        <v>0</v>
      </c>
      <c r="C42" s="233">
        <f>'[1]Тип І.'!B31</f>
        <v>0</v>
      </c>
      <c r="D42" s="227">
        <f t="shared" si="7"/>
        <v>0</v>
      </c>
      <c r="E42" s="234">
        <f t="shared" si="0"/>
        <v>0</v>
      </c>
      <c r="F42" s="234">
        <f t="shared" si="1"/>
        <v>0</v>
      </c>
      <c r="G42" s="234">
        <f t="shared" si="2"/>
        <v>0</v>
      </c>
      <c r="H42" s="235">
        <f t="shared" si="3"/>
        <v>0</v>
      </c>
      <c r="I42" s="236">
        <f t="shared" si="4"/>
        <v>0</v>
      </c>
      <c r="J42" s="234">
        <f t="shared" si="5"/>
        <v>0</v>
      </c>
      <c r="K42" s="237">
        <f t="shared" si="6"/>
        <v>0</v>
      </c>
      <c r="L42" s="236">
        <f t="shared" si="8"/>
        <v>0</v>
      </c>
      <c r="M42" s="234">
        <f t="shared" si="9"/>
        <v>0</v>
      </c>
      <c r="N42" s="234">
        <f>IF(M41=0,IF(L42&gt;0.5*C$15,B42+0.5*'[1]Тип І.'!H$12,0),0)</f>
        <v>0</v>
      </c>
      <c r="O42" s="227">
        <f t="shared" si="10"/>
        <v>0</v>
      </c>
      <c r="P42" s="230">
        <f t="shared" si="11"/>
        <v>0</v>
      </c>
      <c r="Q42" s="235">
        <f t="shared" si="13"/>
        <v>0</v>
      </c>
    </row>
    <row r="43" spans="1:17" ht="12.75">
      <c r="A43" s="232">
        <f t="shared" si="12"/>
        <v>27</v>
      </c>
      <c r="B43" s="233">
        <f>'[1]Тип І.'!A32</f>
        <v>0</v>
      </c>
      <c r="C43" s="233">
        <f>'[1]Тип І.'!B32</f>
        <v>0</v>
      </c>
      <c r="D43" s="227">
        <f t="shared" si="7"/>
        <v>0</v>
      </c>
      <c r="E43" s="234">
        <f t="shared" si="0"/>
        <v>0</v>
      </c>
      <c r="F43" s="234">
        <f t="shared" si="1"/>
        <v>0</v>
      </c>
      <c r="G43" s="234">
        <f t="shared" si="2"/>
        <v>0</v>
      </c>
      <c r="H43" s="235">
        <f t="shared" si="3"/>
        <v>0</v>
      </c>
      <c r="I43" s="236">
        <f t="shared" si="4"/>
        <v>0</v>
      </c>
      <c r="J43" s="234">
        <f t="shared" si="5"/>
        <v>0</v>
      </c>
      <c r="K43" s="237">
        <f t="shared" si="6"/>
        <v>0</v>
      </c>
      <c r="L43" s="236">
        <f t="shared" si="8"/>
        <v>0</v>
      </c>
      <c r="M43" s="234">
        <f t="shared" si="9"/>
        <v>0</v>
      </c>
      <c r="N43" s="234">
        <f>IF(M42=0,IF(L43&gt;0.5*C$15,B43+0.5*'[1]Тип І.'!H$12,0),0)</f>
        <v>0</v>
      </c>
      <c r="O43" s="227">
        <f t="shared" si="10"/>
        <v>0</v>
      </c>
      <c r="P43" s="230">
        <f t="shared" si="11"/>
        <v>0</v>
      </c>
      <c r="Q43" s="235">
        <f t="shared" si="13"/>
        <v>0</v>
      </c>
    </row>
    <row r="44" spans="1:17" ht="12.75">
      <c r="A44" s="232">
        <f t="shared" si="12"/>
        <v>28</v>
      </c>
      <c r="B44" s="233">
        <f>'[1]Тип І.'!A33</f>
        <v>0</v>
      </c>
      <c r="C44" s="233">
        <f>'[1]Тип І.'!B33</f>
        <v>0</v>
      </c>
      <c r="D44" s="227">
        <f t="shared" si="7"/>
        <v>0</v>
      </c>
      <c r="E44" s="234">
        <f t="shared" si="0"/>
        <v>0</v>
      </c>
      <c r="F44" s="234">
        <f t="shared" si="1"/>
        <v>0</v>
      </c>
      <c r="G44" s="234">
        <f t="shared" si="2"/>
        <v>0</v>
      </c>
      <c r="H44" s="235">
        <f t="shared" si="3"/>
        <v>0</v>
      </c>
      <c r="I44" s="236">
        <f t="shared" si="4"/>
        <v>0</v>
      </c>
      <c r="J44" s="234">
        <f t="shared" si="5"/>
        <v>0</v>
      </c>
      <c r="K44" s="237">
        <f t="shared" si="6"/>
        <v>0</v>
      </c>
      <c r="L44" s="236">
        <f t="shared" si="8"/>
        <v>0</v>
      </c>
      <c r="M44" s="234">
        <f t="shared" si="9"/>
        <v>0</v>
      </c>
      <c r="N44" s="234">
        <f>IF(M43=0,IF(L44&gt;0.5*C$15,B44+0.5*'[1]Тип І.'!H$12,0),0)</f>
        <v>0</v>
      </c>
      <c r="O44" s="227">
        <f t="shared" si="10"/>
        <v>0</v>
      </c>
      <c r="P44" s="230">
        <f t="shared" si="11"/>
        <v>0</v>
      </c>
      <c r="Q44" s="235">
        <f t="shared" si="13"/>
        <v>0</v>
      </c>
    </row>
    <row r="45" spans="1:17" ht="12.75">
      <c r="A45" s="232">
        <f t="shared" si="12"/>
        <v>29</v>
      </c>
      <c r="B45" s="233">
        <f>'[1]Тип І.'!A34</f>
        <v>0</v>
      </c>
      <c r="C45" s="233">
        <f>'[1]Тип І.'!B34</f>
        <v>0</v>
      </c>
      <c r="D45" s="227">
        <f t="shared" si="7"/>
        <v>0</v>
      </c>
      <c r="E45" s="234">
        <f t="shared" si="0"/>
        <v>0</v>
      </c>
      <c r="F45" s="234">
        <f t="shared" si="1"/>
        <v>0</v>
      </c>
      <c r="G45" s="234">
        <f t="shared" si="2"/>
        <v>0</v>
      </c>
      <c r="H45" s="235">
        <f t="shared" si="3"/>
        <v>0</v>
      </c>
      <c r="I45" s="236">
        <f t="shared" si="4"/>
        <v>0</v>
      </c>
      <c r="J45" s="234">
        <f t="shared" si="5"/>
        <v>0</v>
      </c>
      <c r="K45" s="237">
        <f t="shared" si="6"/>
        <v>0</v>
      </c>
      <c r="L45" s="236">
        <f t="shared" si="8"/>
        <v>0</v>
      </c>
      <c r="M45" s="234">
        <f t="shared" si="9"/>
        <v>0</v>
      </c>
      <c r="N45" s="234">
        <f>IF(M44=0,IF(L45&gt;0.5*C$15,B45+0.5*'[1]Тип І.'!H$12,0),0)</f>
        <v>0</v>
      </c>
      <c r="O45" s="227">
        <f t="shared" si="10"/>
        <v>0</v>
      </c>
      <c r="P45" s="230">
        <f t="shared" si="11"/>
        <v>0</v>
      </c>
      <c r="Q45" s="235">
        <f t="shared" si="13"/>
        <v>0</v>
      </c>
    </row>
    <row r="46" spans="1:17" ht="12.75">
      <c r="A46" s="232">
        <f t="shared" si="12"/>
        <v>30</v>
      </c>
      <c r="B46" s="233">
        <f>'[1]Тип І.'!A35</f>
        <v>0</v>
      </c>
      <c r="C46" s="233">
        <f>'[1]Тип І.'!B35</f>
        <v>0</v>
      </c>
      <c r="D46" s="227">
        <f t="shared" si="7"/>
        <v>0</v>
      </c>
      <c r="E46" s="234">
        <f t="shared" si="0"/>
        <v>0</v>
      </c>
      <c r="F46" s="234">
        <f t="shared" si="1"/>
        <v>0</v>
      </c>
      <c r="G46" s="234">
        <f t="shared" si="2"/>
        <v>0</v>
      </c>
      <c r="H46" s="235">
        <f t="shared" si="3"/>
        <v>0</v>
      </c>
      <c r="I46" s="236">
        <f t="shared" si="4"/>
        <v>0</v>
      </c>
      <c r="J46" s="234">
        <f t="shared" si="5"/>
        <v>0</v>
      </c>
      <c r="K46" s="237">
        <f t="shared" si="6"/>
        <v>0</v>
      </c>
      <c r="L46" s="236">
        <f t="shared" si="8"/>
        <v>0</v>
      </c>
      <c r="M46" s="234">
        <f t="shared" si="9"/>
        <v>0</v>
      </c>
      <c r="N46" s="234">
        <f>IF(M45=0,IF(L46&gt;0.5*C$15,B46+0.5*'[1]Тип І.'!H$12,0),0)</f>
        <v>0</v>
      </c>
      <c r="O46" s="227">
        <f t="shared" si="10"/>
        <v>0</v>
      </c>
      <c r="P46" s="230">
        <f t="shared" si="11"/>
        <v>0</v>
      </c>
      <c r="Q46" s="235">
        <f t="shared" si="13"/>
        <v>0</v>
      </c>
    </row>
    <row r="47" spans="1:17" ht="12.75">
      <c r="A47" s="232">
        <f t="shared" si="12"/>
        <v>31</v>
      </c>
      <c r="B47" s="233">
        <f>'[1]Тип І.'!A36</f>
        <v>0</v>
      </c>
      <c r="C47" s="233">
        <f>'[1]Тип І.'!B36</f>
        <v>0</v>
      </c>
      <c r="D47" s="227">
        <f t="shared" si="7"/>
        <v>0</v>
      </c>
      <c r="E47" s="234">
        <f t="shared" si="0"/>
        <v>0</v>
      </c>
      <c r="F47" s="234">
        <f t="shared" si="1"/>
        <v>0</v>
      </c>
      <c r="G47" s="234">
        <f t="shared" si="2"/>
        <v>0</v>
      </c>
      <c r="H47" s="235">
        <f t="shared" si="3"/>
        <v>0</v>
      </c>
      <c r="I47" s="236">
        <f t="shared" si="4"/>
        <v>0</v>
      </c>
      <c r="J47" s="234">
        <f t="shared" si="5"/>
        <v>0</v>
      </c>
      <c r="K47" s="237">
        <f t="shared" si="6"/>
        <v>0</v>
      </c>
      <c r="L47" s="236">
        <f t="shared" si="8"/>
        <v>0</v>
      </c>
      <c r="M47" s="234">
        <f t="shared" si="9"/>
        <v>0</v>
      </c>
      <c r="N47" s="234">
        <f>IF(M46=0,IF(L47&gt;0.5*C$15,B47+0.5*'[1]Тип І.'!H$12,0),0)</f>
        <v>0</v>
      </c>
      <c r="O47" s="227">
        <f t="shared" si="10"/>
        <v>0</v>
      </c>
      <c r="P47" s="230">
        <f t="shared" si="11"/>
        <v>0</v>
      </c>
      <c r="Q47" s="235">
        <f t="shared" si="13"/>
        <v>0</v>
      </c>
    </row>
    <row r="48" spans="1:17" ht="12.75">
      <c r="A48" s="232">
        <f t="shared" si="12"/>
        <v>32</v>
      </c>
      <c r="B48" s="233">
        <f>'[1]Тип І.'!A37</f>
        <v>0</v>
      </c>
      <c r="C48" s="233">
        <f>'[1]Тип І.'!B37</f>
        <v>0</v>
      </c>
      <c r="D48" s="227">
        <f t="shared" si="7"/>
        <v>0</v>
      </c>
      <c r="E48" s="234">
        <f t="shared" si="0"/>
        <v>0</v>
      </c>
      <c r="F48" s="234">
        <f t="shared" si="1"/>
        <v>0</v>
      </c>
      <c r="G48" s="234">
        <f t="shared" si="2"/>
        <v>0</v>
      </c>
      <c r="H48" s="235">
        <f t="shared" si="3"/>
        <v>0</v>
      </c>
      <c r="I48" s="236">
        <f t="shared" si="4"/>
        <v>0</v>
      </c>
      <c r="J48" s="234">
        <f t="shared" si="5"/>
        <v>0</v>
      </c>
      <c r="K48" s="237">
        <f t="shared" si="6"/>
        <v>0</v>
      </c>
      <c r="L48" s="236">
        <f t="shared" si="8"/>
        <v>0</v>
      </c>
      <c r="M48" s="234">
        <f t="shared" si="9"/>
        <v>0</v>
      </c>
      <c r="N48" s="234">
        <f>IF(M47=0,IF(L48&gt;0.5*C$15,B48+0.5*'[1]Тип І.'!H$12,0),0)</f>
        <v>0</v>
      </c>
      <c r="O48" s="227">
        <f t="shared" si="10"/>
        <v>0</v>
      </c>
      <c r="P48" s="230">
        <f t="shared" si="11"/>
        <v>0</v>
      </c>
      <c r="Q48" s="235">
        <f t="shared" si="13"/>
        <v>0</v>
      </c>
    </row>
    <row r="49" spans="1:17" ht="12.75">
      <c r="A49" s="232">
        <f t="shared" si="12"/>
        <v>33</v>
      </c>
      <c r="B49" s="233">
        <f>'[1]Тип І.'!A38</f>
        <v>0</v>
      </c>
      <c r="C49" s="233">
        <f>'[1]Тип І.'!B38</f>
        <v>0</v>
      </c>
      <c r="D49" s="227">
        <f t="shared" si="7"/>
        <v>0</v>
      </c>
      <c r="E49" s="234">
        <f t="shared" si="0"/>
        <v>0</v>
      </c>
      <c r="F49" s="234">
        <f t="shared" si="1"/>
        <v>0</v>
      </c>
      <c r="G49" s="234">
        <f t="shared" si="2"/>
        <v>0</v>
      </c>
      <c r="H49" s="235">
        <f t="shared" si="3"/>
        <v>0</v>
      </c>
      <c r="I49" s="236">
        <f t="shared" si="4"/>
        <v>0</v>
      </c>
      <c r="J49" s="234">
        <f t="shared" si="5"/>
        <v>0</v>
      </c>
      <c r="K49" s="237">
        <f t="shared" si="6"/>
        <v>0</v>
      </c>
      <c r="L49" s="236">
        <f t="shared" si="8"/>
        <v>0</v>
      </c>
      <c r="M49" s="234">
        <f t="shared" si="9"/>
        <v>0</v>
      </c>
      <c r="N49" s="234">
        <f>IF(M48=0,IF(L49&gt;0.5*C$15,B49+0.5*'[1]Тип І.'!H$12,0),0)</f>
        <v>0</v>
      </c>
      <c r="O49" s="227">
        <f t="shared" si="10"/>
        <v>0</v>
      </c>
      <c r="P49" s="230">
        <f t="shared" si="11"/>
        <v>0</v>
      </c>
      <c r="Q49" s="235">
        <f t="shared" si="13"/>
        <v>0</v>
      </c>
    </row>
    <row r="50" spans="1:17" ht="12.75">
      <c r="A50" s="232">
        <f t="shared" si="12"/>
        <v>34</v>
      </c>
      <c r="B50" s="233">
        <f>'[1]Тип І.'!A39</f>
        <v>0</v>
      </c>
      <c r="C50" s="233">
        <f>'[1]Тип І.'!B39</f>
        <v>0</v>
      </c>
      <c r="D50" s="227">
        <f t="shared" si="7"/>
        <v>0</v>
      </c>
      <c r="E50" s="234">
        <f t="shared" si="0"/>
        <v>0</v>
      </c>
      <c r="F50" s="234">
        <f t="shared" si="1"/>
        <v>0</v>
      </c>
      <c r="G50" s="234">
        <f t="shared" si="2"/>
        <v>0</v>
      </c>
      <c r="H50" s="235">
        <f t="shared" si="3"/>
        <v>0</v>
      </c>
      <c r="I50" s="236">
        <f t="shared" si="4"/>
        <v>0</v>
      </c>
      <c r="J50" s="234">
        <f t="shared" si="5"/>
        <v>0</v>
      </c>
      <c r="K50" s="237">
        <f t="shared" si="6"/>
        <v>0</v>
      </c>
      <c r="L50" s="236">
        <f t="shared" si="8"/>
        <v>0</v>
      </c>
      <c r="M50" s="234">
        <f t="shared" si="9"/>
        <v>0</v>
      </c>
      <c r="N50" s="234">
        <f>IF(M49=0,IF(L50&gt;0.5*C$15,B50+0.5*'[1]Тип І.'!H$12,0),0)</f>
        <v>0</v>
      </c>
      <c r="O50" s="227">
        <f t="shared" si="10"/>
        <v>0</v>
      </c>
      <c r="P50" s="230">
        <f t="shared" si="11"/>
        <v>0</v>
      </c>
      <c r="Q50" s="235">
        <f t="shared" si="13"/>
        <v>0</v>
      </c>
    </row>
    <row r="51" spans="1:17" ht="12.75">
      <c r="A51" s="232">
        <f t="shared" si="12"/>
        <v>35</v>
      </c>
      <c r="B51" s="233">
        <f>'[1]Тип І.'!A40</f>
        <v>0</v>
      </c>
      <c r="C51" s="233">
        <f>'[1]Тип І.'!B40</f>
        <v>0</v>
      </c>
      <c r="D51" s="227">
        <f t="shared" si="7"/>
        <v>0</v>
      </c>
      <c r="E51" s="234">
        <f t="shared" si="0"/>
        <v>0</v>
      </c>
      <c r="F51" s="234">
        <f t="shared" si="1"/>
        <v>0</v>
      </c>
      <c r="G51" s="234">
        <f t="shared" si="2"/>
        <v>0</v>
      </c>
      <c r="H51" s="235">
        <f t="shared" si="3"/>
        <v>0</v>
      </c>
      <c r="I51" s="236">
        <f t="shared" si="4"/>
        <v>0</v>
      </c>
      <c r="J51" s="234">
        <f t="shared" si="5"/>
        <v>0</v>
      </c>
      <c r="K51" s="237">
        <f t="shared" si="6"/>
        <v>0</v>
      </c>
      <c r="L51" s="236">
        <f t="shared" si="8"/>
        <v>0</v>
      </c>
      <c r="M51" s="234">
        <f t="shared" si="9"/>
        <v>0</v>
      </c>
      <c r="N51" s="234">
        <f>IF(M50=0,IF(L51&gt;0.5*C$15,B51+0.5*'[1]Тип І.'!H$12,0),0)</f>
        <v>0</v>
      </c>
      <c r="O51" s="227">
        <f t="shared" si="10"/>
        <v>0</v>
      </c>
      <c r="P51" s="230">
        <f t="shared" si="11"/>
        <v>0</v>
      </c>
      <c r="Q51" s="235">
        <f t="shared" si="13"/>
        <v>0</v>
      </c>
    </row>
    <row r="52" spans="1:17" ht="12.75">
      <c r="A52" s="232">
        <f t="shared" si="12"/>
        <v>36</v>
      </c>
      <c r="B52" s="233">
        <f>'[1]Тип І.'!A41</f>
        <v>0</v>
      </c>
      <c r="C52" s="233">
        <f>'[1]Тип І.'!B41</f>
        <v>0</v>
      </c>
      <c r="D52" s="227">
        <f t="shared" si="7"/>
        <v>0</v>
      </c>
      <c r="E52" s="234">
        <f t="shared" si="0"/>
        <v>0</v>
      </c>
      <c r="F52" s="234">
        <f t="shared" si="1"/>
        <v>0</v>
      </c>
      <c r="G52" s="234">
        <f t="shared" si="2"/>
        <v>0</v>
      </c>
      <c r="H52" s="235">
        <f t="shared" si="3"/>
        <v>0</v>
      </c>
      <c r="I52" s="236">
        <f t="shared" si="4"/>
        <v>0</v>
      </c>
      <c r="J52" s="234">
        <f t="shared" si="5"/>
        <v>0</v>
      </c>
      <c r="K52" s="237">
        <f t="shared" si="6"/>
        <v>0</v>
      </c>
      <c r="L52" s="236">
        <f t="shared" si="8"/>
        <v>0</v>
      </c>
      <c r="M52" s="234">
        <f t="shared" si="9"/>
        <v>0</v>
      </c>
      <c r="N52" s="234">
        <f>IF(M51=0,IF(L52&gt;0.5*C$15,B52+0.5*'[1]Тип І.'!H$12,0),0)</f>
        <v>0</v>
      </c>
      <c r="O52" s="227">
        <f t="shared" si="10"/>
        <v>0</v>
      </c>
      <c r="P52" s="230">
        <f t="shared" si="11"/>
        <v>0</v>
      </c>
      <c r="Q52" s="235">
        <f t="shared" si="13"/>
        <v>0</v>
      </c>
    </row>
    <row r="53" spans="1:17" ht="12.75">
      <c r="A53" s="232">
        <f t="shared" si="12"/>
        <v>37</v>
      </c>
      <c r="B53" s="233">
        <f>'[1]Тип І.'!A42</f>
        <v>0</v>
      </c>
      <c r="C53" s="233">
        <f>'[1]Тип І.'!B42</f>
        <v>0</v>
      </c>
      <c r="D53" s="227">
        <f t="shared" si="7"/>
        <v>0</v>
      </c>
      <c r="E53" s="234">
        <f t="shared" si="0"/>
        <v>0</v>
      </c>
      <c r="F53" s="234">
        <f t="shared" si="1"/>
        <v>0</v>
      </c>
      <c r="G53" s="234">
        <f t="shared" si="2"/>
        <v>0</v>
      </c>
      <c r="H53" s="235">
        <f t="shared" si="3"/>
        <v>0</v>
      </c>
      <c r="I53" s="236">
        <f t="shared" si="4"/>
        <v>0</v>
      </c>
      <c r="J53" s="234">
        <f t="shared" si="5"/>
        <v>0</v>
      </c>
      <c r="K53" s="237">
        <f t="shared" si="6"/>
        <v>0</v>
      </c>
      <c r="L53" s="236">
        <f t="shared" si="8"/>
        <v>0</v>
      </c>
      <c r="M53" s="234">
        <f t="shared" si="9"/>
        <v>0</v>
      </c>
      <c r="N53" s="234">
        <f>IF(M52=0,IF(L53&gt;0.5*C$15,B53+0.5*'[1]Тип І.'!H$12,0),0)</f>
        <v>0</v>
      </c>
      <c r="O53" s="227">
        <f t="shared" si="10"/>
        <v>0</v>
      </c>
      <c r="P53" s="230">
        <f t="shared" si="11"/>
        <v>0</v>
      </c>
      <c r="Q53" s="235">
        <f t="shared" si="13"/>
        <v>0</v>
      </c>
    </row>
    <row r="54" spans="1:17" ht="12.75">
      <c r="A54" s="232">
        <f t="shared" si="12"/>
        <v>38</v>
      </c>
      <c r="B54" s="233">
        <f>'[1]Тип І.'!A43</f>
        <v>0</v>
      </c>
      <c r="C54" s="233">
        <f>'[1]Тип І.'!B43</f>
        <v>0</v>
      </c>
      <c r="D54" s="227">
        <f t="shared" si="7"/>
        <v>0</v>
      </c>
      <c r="E54" s="234">
        <f t="shared" si="0"/>
        <v>0</v>
      </c>
      <c r="F54" s="234">
        <f t="shared" si="1"/>
        <v>0</v>
      </c>
      <c r="G54" s="234">
        <f t="shared" si="2"/>
        <v>0</v>
      </c>
      <c r="H54" s="235">
        <f t="shared" si="3"/>
        <v>0</v>
      </c>
      <c r="I54" s="236">
        <f t="shared" si="4"/>
        <v>0</v>
      </c>
      <c r="J54" s="234">
        <f t="shared" si="5"/>
        <v>0</v>
      </c>
      <c r="K54" s="237">
        <f t="shared" si="6"/>
        <v>0</v>
      </c>
      <c r="L54" s="236">
        <f t="shared" si="8"/>
        <v>0</v>
      </c>
      <c r="M54" s="234">
        <f t="shared" si="9"/>
        <v>0</v>
      </c>
      <c r="N54" s="234">
        <f>IF(M53=0,IF(L54&gt;0.5*C$15,B54+0.5*'[1]Тип І.'!H$12,0),0)</f>
        <v>0</v>
      </c>
      <c r="O54" s="227">
        <f t="shared" si="10"/>
        <v>0</v>
      </c>
      <c r="P54" s="230">
        <f t="shared" si="11"/>
        <v>0</v>
      </c>
      <c r="Q54" s="235">
        <f t="shared" si="13"/>
        <v>0</v>
      </c>
    </row>
    <row r="55" spans="1:17" ht="12.75">
      <c r="A55" s="232">
        <f t="shared" si="12"/>
        <v>39</v>
      </c>
      <c r="B55" s="233">
        <f>'[1]Тип І.'!A44</f>
        <v>0</v>
      </c>
      <c r="C55" s="233">
        <f>'[1]Тип І.'!B44</f>
        <v>0</v>
      </c>
      <c r="D55" s="227">
        <f t="shared" si="7"/>
        <v>0</v>
      </c>
      <c r="E55" s="234">
        <f t="shared" si="0"/>
        <v>0</v>
      </c>
      <c r="F55" s="234">
        <f t="shared" si="1"/>
        <v>0</v>
      </c>
      <c r="G55" s="234">
        <f t="shared" si="2"/>
        <v>0</v>
      </c>
      <c r="H55" s="235">
        <f t="shared" si="3"/>
        <v>0</v>
      </c>
      <c r="I55" s="236">
        <f t="shared" si="4"/>
        <v>0</v>
      </c>
      <c r="J55" s="234">
        <f t="shared" si="5"/>
        <v>0</v>
      </c>
      <c r="K55" s="237">
        <f t="shared" si="6"/>
        <v>0</v>
      </c>
      <c r="L55" s="236">
        <f t="shared" si="8"/>
        <v>0</v>
      </c>
      <c r="M55" s="234">
        <f t="shared" si="9"/>
        <v>0</v>
      </c>
      <c r="N55" s="234">
        <f>IF(M54=0,IF(L55&gt;0.5*C$15,B55+0.5*'[1]Тип І.'!H$12,0),0)</f>
        <v>0</v>
      </c>
      <c r="O55" s="227">
        <f t="shared" si="10"/>
        <v>0</v>
      </c>
      <c r="P55" s="230">
        <f t="shared" si="11"/>
        <v>0</v>
      </c>
      <c r="Q55" s="235">
        <f t="shared" si="13"/>
        <v>0</v>
      </c>
    </row>
    <row r="56" spans="1:17" ht="12.75">
      <c r="A56" s="232">
        <f t="shared" si="12"/>
        <v>40</v>
      </c>
      <c r="B56" s="233">
        <f>'[1]Тип І.'!A45</f>
        <v>0</v>
      </c>
      <c r="C56" s="233">
        <f>'[1]Тип І.'!B45</f>
        <v>0</v>
      </c>
      <c r="D56" s="227">
        <f t="shared" si="7"/>
        <v>0</v>
      </c>
      <c r="E56" s="234">
        <f t="shared" si="0"/>
        <v>0</v>
      </c>
      <c r="F56" s="234">
        <f t="shared" si="1"/>
        <v>0</v>
      </c>
      <c r="G56" s="234">
        <f t="shared" si="2"/>
        <v>0</v>
      </c>
      <c r="H56" s="235">
        <f t="shared" si="3"/>
        <v>0</v>
      </c>
      <c r="I56" s="236">
        <f t="shared" si="4"/>
        <v>0</v>
      </c>
      <c r="J56" s="234">
        <f t="shared" si="5"/>
        <v>0</v>
      </c>
      <c r="K56" s="237">
        <f t="shared" si="6"/>
        <v>0</v>
      </c>
      <c r="L56" s="236">
        <f t="shared" si="8"/>
        <v>0</v>
      </c>
      <c r="M56" s="234">
        <f t="shared" si="9"/>
        <v>0</v>
      </c>
      <c r="N56" s="234">
        <f>IF(M55=0,IF(L56&gt;0.5*C$15,B56+0.5*'[1]Тип І.'!H$12,0),0)</f>
        <v>0</v>
      </c>
      <c r="O56" s="227">
        <f t="shared" si="10"/>
        <v>0</v>
      </c>
      <c r="P56" s="230">
        <f t="shared" si="11"/>
        <v>0</v>
      </c>
      <c r="Q56" s="235">
        <f t="shared" si="13"/>
        <v>0</v>
      </c>
    </row>
    <row r="57" spans="1:17" ht="12.75">
      <c r="A57" s="232">
        <f t="shared" si="12"/>
        <v>41</v>
      </c>
      <c r="B57" s="233">
        <f>'[1]Тип І.'!A46</f>
        <v>0</v>
      </c>
      <c r="C57" s="233">
        <f>'[1]Тип І.'!B46</f>
        <v>0</v>
      </c>
      <c r="D57" s="227">
        <f t="shared" si="7"/>
        <v>0</v>
      </c>
      <c r="E57" s="234">
        <f t="shared" si="0"/>
        <v>0</v>
      </c>
      <c r="F57" s="234">
        <f t="shared" si="1"/>
        <v>0</v>
      </c>
      <c r="G57" s="234">
        <f t="shared" si="2"/>
        <v>0</v>
      </c>
      <c r="H57" s="235">
        <f t="shared" si="3"/>
        <v>0</v>
      </c>
      <c r="I57" s="236">
        <f t="shared" si="4"/>
        <v>0</v>
      </c>
      <c r="J57" s="234">
        <f t="shared" si="5"/>
        <v>0</v>
      </c>
      <c r="K57" s="237">
        <f t="shared" si="6"/>
        <v>0</v>
      </c>
      <c r="L57" s="236">
        <f t="shared" si="8"/>
        <v>0</v>
      </c>
      <c r="M57" s="234">
        <f t="shared" si="9"/>
        <v>0</v>
      </c>
      <c r="N57" s="234">
        <f>IF(M56=0,IF(L57&gt;0.5*C$15,B57+0.5*'[1]Тип І.'!H$12,0),0)</f>
        <v>0</v>
      </c>
      <c r="O57" s="227">
        <f t="shared" si="10"/>
        <v>0</v>
      </c>
      <c r="P57" s="230">
        <f t="shared" si="11"/>
        <v>0</v>
      </c>
      <c r="Q57" s="235">
        <f t="shared" si="13"/>
        <v>0</v>
      </c>
    </row>
    <row r="58" spans="1:17" ht="12.75">
      <c r="A58" s="232">
        <f t="shared" si="12"/>
        <v>42</v>
      </c>
      <c r="B58" s="233">
        <f>'[1]Тип І.'!A47</f>
        <v>0</v>
      </c>
      <c r="C58" s="233">
        <f>'[1]Тип І.'!B47</f>
        <v>0</v>
      </c>
      <c r="D58" s="227">
        <f t="shared" si="7"/>
        <v>0</v>
      </c>
      <c r="E58" s="234">
        <f t="shared" si="0"/>
        <v>0</v>
      </c>
      <c r="F58" s="234">
        <f t="shared" si="1"/>
        <v>0</v>
      </c>
      <c r="G58" s="234">
        <f t="shared" si="2"/>
        <v>0</v>
      </c>
      <c r="H58" s="235">
        <f t="shared" si="3"/>
        <v>0</v>
      </c>
      <c r="I58" s="236">
        <f t="shared" si="4"/>
        <v>0</v>
      </c>
      <c r="J58" s="234">
        <f t="shared" si="5"/>
        <v>0</v>
      </c>
      <c r="K58" s="237">
        <f t="shared" si="6"/>
        <v>0</v>
      </c>
      <c r="L58" s="236">
        <f t="shared" si="8"/>
        <v>0</v>
      </c>
      <c r="M58" s="234">
        <f t="shared" si="9"/>
        <v>0</v>
      </c>
      <c r="N58" s="234">
        <f>IF(M57=0,IF(L58&gt;0.5*C$15,B58+0.5*'[1]Тип І.'!H$12,0),0)</f>
        <v>0</v>
      </c>
      <c r="O58" s="227">
        <f t="shared" si="10"/>
        <v>0</v>
      </c>
      <c r="P58" s="230">
        <f t="shared" si="11"/>
        <v>0</v>
      </c>
      <c r="Q58" s="235">
        <f t="shared" si="13"/>
        <v>0</v>
      </c>
    </row>
    <row r="59" spans="1:17" ht="12.75">
      <c r="A59" s="232">
        <f t="shared" si="12"/>
        <v>43</v>
      </c>
      <c r="B59" s="233">
        <f>'[1]Тип І.'!A48</f>
        <v>0</v>
      </c>
      <c r="C59" s="233">
        <f>'[1]Тип І.'!B48</f>
        <v>0</v>
      </c>
      <c r="D59" s="227">
        <f t="shared" si="7"/>
        <v>0</v>
      </c>
      <c r="E59" s="234">
        <f t="shared" si="0"/>
        <v>0</v>
      </c>
      <c r="F59" s="234">
        <f t="shared" si="1"/>
        <v>0</v>
      </c>
      <c r="G59" s="234">
        <f t="shared" si="2"/>
        <v>0</v>
      </c>
      <c r="H59" s="235">
        <f t="shared" si="3"/>
        <v>0</v>
      </c>
      <c r="I59" s="236">
        <f t="shared" si="4"/>
        <v>0</v>
      </c>
      <c r="J59" s="234">
        <f t="shared" si="5"/>
        <v>0</v>
      </c>
      <c r="K59" s="237">
        <f t="shared" si="6"/>
        <v>0</v>
      </c>
      <c r="L59" s="236">
        <f t="shared" si="8"/>
        <v>0</v>
      </c>
      <c r="M59" s="234">
        <f t="shared" si="9"/>
        <v>0</v>
      </c>
      <c r="N59" s="234">
        <f>IF(M58=0,IF(L59&gt;0.5*C$15,B59+0.5*'[1]Тип І.'!H$12,0),0)</f>
        <v>0</v>
      </c>
      <c r="O59" s="227">
        <f t="shared" si="10"/>
        <v>0</v>
      </c>
      <c r="P59" s="230">
        <f t="shared" si="11"/>
        <v>0</v>
      </c>
      <c r="Q59" s="235">
        <f t="shared" si="13"/>
        <v>0</v>
      </c>
    </row>
    <row r="60" spans="1:17" ht="12.75">
      <c r="A60" s="232">
        <f t="shared" si="12"/>
        <v>44</v>
      </c>
      <c r="B60" s="233">
        <f>'[1]Тип І.'!A49</f>
        <v>0</v>
      </c>
      <c r="C60" s="233">
        <f>'[1]Тип І.'!B49</f>
        <v>0</v>
      </c>
      <c r="D60" s="227">
        <f t="shared" si="7"/>
        <v>0</v>
      </c>
      <c r="E60" s="234">
        <f t="shared" si="0"/>
        <v>0</v>
      </c>
      <c r="F60" s="234">
        <f t="shared" si="1"/>
        <v>0</v>
      </c>
      <c r="G60" s="234">
        <f t="shared" si="2"/>
        <v>0</v>
      </c>
      <c r="H60" s="235">
        <f t="shared" si="3"/>
        <v>0</v>
      </c>
      <c r="I60" s="236">
        <f t="shared" si="4"/>
        <v>0</v>
      </c>
      <c r="J60" s="234">
        <f t="shared" si="5"/>
        <v>0</v>
      </c>
      <c r="K60" s="237">
        <f t="shared" si="6"/>
        <v>0</v>
      </c>
      <c r="L60" s="236">
        <f t="shared" si="8"/>
        <v>0</v>
      </c>
      <c r="M60" s="234">
        <f t="shared" si="9"/>
        <v>0</v>
      </c>
      <c r="N60" s="234">
        <f>IF(M59=0,IF(L60&gt;0.5*C$15,B60+0.5*'[1]Тип І.'!H$12,0),0)</f>
        <v>0</v>
      </c>
      <c r="O60" s="227">
        <f t="shared" si="10"/>
        <v>0</v>
      </c>
      <c r="P60" s="230">
        <f t="shared" si="11"/>
        <v>0</v>
      </c>
      <c r="Q60" s="235">
        <f t="shared" si="13"/>
        <v>0</v>
      </c>
    </row>
    <row r="61" spans="1:17" ht="12.75">
      <c r="A61" s="232">
        <f t="shared" si="12"/>
        <v>45</v>
      </c>
      <c r="B61" s="233">
        <f>'[1]Тип І.'!A50</f>
        <v>0</v>
      </c>
      <c r="C61" s="233">
        <f>'[1]Тип І.'!B50</f>
        <v>0</v>
      </c>
      <c r="D61" s="227">
        <f t="shared" si="7"/>
        <v>0</v>
      </c>
      <c r="E61" s="234">
        <f t="shared" si="0"/>
        <v>0</v>
      </c>
      <c r="F61" s="234">
        <f t="shared" si="1"/>
        <v>0</v>
      </c>
      <c r="G61" s="234">
        <f t="shared" si="2"/>
        <v>0</v>
      </c>
      <c r="H61" s="235">
        <f t="shared" si="3"/>
        <v>0</v>
      </c>
      <c r="I61" s="236">
        <f t="shared" si="4"/>
        <v>0</v>
      </c>
      <c r="J61" s="234">
        <f t="shared" si="5"/>
        <v>0</v>
      </c>
      <c r="K61" s="237">
        <f t="shared" si="6"/>
        <v>0</v>
      </c>
      <c r="L61" s="236">
        <f t="shared" si="8"/>
        <v>0</v>
      </c>
      <c r="M61" s="234">
        <f t="shared" si="9"/>
        <v>0</v>
      </c>
      <c r="N61" s="234">
        <f>IF(M60=0,IF(L61&gt;0.5*C$15,B61+0.5*'[1]Тип І.'!H$12,0),0)</f>
        <v>0</v>
      </c>
      <c r="O61" s="227">
        <f t="shared" si="10"/>
        <v>0</v>
      </c>
      <c r="P61" s="230">
        <f t="shared" si="11"/>
        <v>0</v>
      </c>
      <c r="Q61" s="235">
        <f t="shared" si="13"/>
        <v>0</v>
      </c>
    </row>
    <row r="62" spans="1:17" ht="12.75">
      <c r="A62" s="232">
        <f t="shared" si="12"/>
        <v>46</v>
      </c>
      <c r="B62" s="233">
        <f>'[1]Тип І.'!A51</f>
        <v>0</v>
      </c>
      <c r="C62" s="233">
        <f>'[1]Тип І.'!B51</f>
        <v>0</v>
      </c>
      <c r="D62" s="227">
        <f t="shared" si="7"/>
        <v>0</v>
      </c>
      <c r="E62" s="234">
        <f t="shared" si="0"/>
        <v>0</v>
      </c>
      <c r="F62" s="234">
        <f t="shared" si="1"/>
        <v>0</v>
      </c>
      <c r="G62" s="234">
        <f t="shared" si="2"/>
        <v>0</v>
      </c>
      <c r="H62" s="235">
        <f t="shared" si="3"/>
        <v>0</v>
      </c>
      <c r="I62" s="236">
        <f t="shared" si="4"/>
        <v>0</v>
      </c>
      <c r="J62" s="234">
        <f t="shared" si="5"/>
        <v>0</v>
      </c>
      <c r="K62" s="237">
        <f t="shared" si="6"/>
        <v>0</v>
      </c>
      <c r="L62" s="236">
        <f t="shared" si="8"/>
        <v>0</v>
      </c>
      <c r="M62" s="234">
        <f t="shared" si="9"/>
        <v>0</v>
      </c>
      <c r="N62" s="234">
        <f>IF(M61=0,IF(L62&gt;0.5*C$15,B62+0.5*'[1]Тип І.'!H$12,0),0)</f>
        <v>0</v>
      </c>
      <c r="O62" s="227">
        <f t="shared" si="10"/>
        <v>0</v>
      </c>
      <c r="P62" s="230">
        <f t="shared" si="11"/>
        <v>0</v>
      </c>
      <c r="Q62" s="235">
        <f t="shared" si="13"/>
        <v>0</v>
      </c>
    </row>
    <row r="63" spans="1:17" ht="12.75">
      <c r="A63" s="232">
        <f t="shared" si="12"/>
        <v>47</v>
      </c>
      <c r="B63" s="233">
        <f>'[1]Тип І.'!A52</f>
        <v>0</v>
      </c>
      <c r="C63" s="233">
        <f>'[1]Тип І.'!B52</f>
        <v>0</v>
      </c>
      <c r="D63" s="227">
        <f t="shared" si="7"/>
        <v>0</v>
      </c>
      <c r="E63" s="234">
        <f t="shared" si="0"/>
        <v>0</v>
      </c>
      <c r="F63" s="234">
        <f t="shared" si="1"/>
        <v>0</v>
      </c>
      <c r="G63" s="234">
        <f t="shared" si="2"/>
        <v>0</v>
      </c>
      <c r="H63" s="235">
        <f t="shared" si="3"/>
        <v>0</v>
      </c>
      <c r="I63" s="236">
        <f t="shared" si="4"/>
        <v>0</v>
      </c>
      <c r="J63" s="234">
        <f t="shared" si="5"/>
        <v>0</v>
      </c>
      <c r="K63" s="237">
        <f t="shared" si="6"/>
        <v>0</v>
      </c>
      <c r="L63" s="236">
        <f t="shared" si="8"/>
        <v>0</v>
      </c>
      <c r="M63" s="234">
        <f t="shared" si="9"/>
        <v>0</v>
      </c>
      <c r="N63" s="234">
        <f>IF(M62=0,IF(L63&gt;0.5*C$15,B63+0.5*'[1]Тип І.'!H$12,0),0)</f>
        <v>0</v>
      </c>
      <c r="O63" s="227">
        <f t="shared" si="10"/>
        <v>0</v>
      </c>
      <c r="P63" s="230">
        <f t="shared" si="11"/>
        <v>0</v>
      </c>
      <c r="Q63" s="235">
        <f t="shared" si="13"/>
        <v>0</v>
      </c>
    </row>
    <row r="64" spans="1:17" ht="12.75">
      <c r="A64" s="232">
        <f t="shared" si="12"/>
        <v>48</v>
      </c>
      <c r="B64" s="233">
        <f>'[1]Тип І.'!A54</f>
        <v>0</v>
      </c>
      <c r="C64" s="233">
        <f>'[1]Тип І.'!B54</f>
        <v>0</v>
      </c>
      <c r="D64" s="227">
        <f t="shared" si="7"/>
        <v>0</v>
      </c>
      <c r="E64" s="234">
        <f t="shared" si="0"/>
        <v>0</v>
      </c>
      <c r="F64" s="234">
        <f t="shared" si="1"/>
        <v>0</v>
      </c>
      <c r="G64" s="234">
        <f t="shared" si="2"/>
        <v>0</v>
      </c>
      <c r="H64" s="235">
        <f t="shared" si="3"/>
        <v>0</v>
      </c>
      <c r="I64" s="236">
        <f t="shared" si="4"/>
        <v>0</v>
      </c>
      <c r="J64" s="234">
        <f t="shared" si="5"/>
        <v>0</v>
      </c>
      <c r="K64" s="237">
        <f t="shared" si="6"/>
        <v>0</v>
      </c>
      <c r="L64" s="236">
        <f t="shared" si="8"/>
        <v>0</v>
      </c>
      <c r="M64" s="234">
        <f t="shared" si="9"/>
        <v>0</v>
      </c>
      <c r="N64" s="234">
        <f>IF(M63=0,IF(L64&gt;0.5*C$15,B64+0.5*'[1]Тип І.'!H$12,0),0)</f>
        <v>0</v>
      </c>
      <c r="O64" s="227">
        <f t="shared" si="10"/>
        <v>0</v>
      </c>
      <c r="P64" s="230">
        <f t="shared" si="11"/>
        <v>0</v>
      </c>
      <c r="Q64" s="235">
        <f t="shared" si="13"/>
        <v>0</v>
      </c>
    </row>
    <row r="65" spans="1:17" ht="12.75">
      <c r="A65" s="232">
        <f t="shared" si="12"/>
        <v>49</v>
      </c>
      <c r="B65" s="233">
        <f>'[1]Тип І.'!A55</f>
        <v>0</v>
      </c>
      <c r="C65" s="233">
        <f>'[1]Тип І.'!B55</f>
        <v>0</v>
      </c>
      <c r="D65" s="227">
        <f t="shared" si="7"/>
        <v>0</v>
      </c>
      <c r="E65" s="234">
        <f t="shared" si="0"/>
        <v>0</v>
      </c>
      <c r="F65" s="234">
        <f t="shared" si="1"/>
        <v>0</v>
      </c>
      <c r="G65" s="234">
        <f t="shared" si="2"/>
        <v>0</v>
      </c>
      <c r="H65" s="235">
        <f t="shared" si="3"/>
        <v>0</v>
      </c>
      <c r="I65" s="236">
        <f t="shared" si="4"/>
        <v>0</v>
      </c>
      <c r="J65" s="234">
        <f t="shared" si="5"/>
        <v>0</v>
      </c>
      <c r="K65" s="237">
        <f t="shared" si="6"/>
        <v>0</v>
      </c>
      <c r="L65" s="236">
        <f t="shared" si="8"/>
        <v>0</v>
      </c>
      <c r="M65" s="234">
        <f t="shared" si="9"/>
        <v>0</v>
      </c>
      <c r="N65" s="234">
        <f>IF(M64=0,IF(L65&gt;0.5*C$15,B65+0.5*'[1]Тип І.'!H$12,0),0)</f>
        <v>0</v>
      </c>
      <c r="O65" s="227">
        <f t="shared" si="10"/>
        <v>0</v>
      </c>
      <c r="P65" s="230">
        <f t="shared" si="11"/>
        <v>0</v>
      </c>
      <c r="Q65" s="235">
        <f t="shared" si="13"/>
        <v>0</v>
      </c>
    </row>
    <row r="66" spans="1:17" ht="12.75">
      <c r="A66" s="232">
        <f t="shared" si="12"/>
        <v>50</v>
      </c>
      <c r="B66" s="233">
        <f>'[1]Тип І.'!A56</f>
        <v>0</v>
      </c>
      <c r="C66" s="233">
        <f>'[1]Тип І.'!B56</f>
        <v>0</v>
      </c>
      <c r="D66" s="227">
        <f t="shared" si="7"/>
        <v>0</v>
      </c>
      <c r="E66" s="234">
        <f t="shared" si="0"/>
        <v>0</v>
      </c>
      <c r="F66" s="234">
        <f t="shared" si="1"/>
        <v>0</v>
      </c>
      <c r="G66" s="234">
        <f t="shared" si="2"/>
        <v>0</v>
      </c>
      <c r="H66" s="235">
        <f t="shared" si="3"/>
        <v>0</v>
      </c>
      <c r="I66" s="236">
        <f t="shared" si="4"/>
        <v>0</v>
      </c>
      <c r="J66" s="234">
        <f t="shared" si="5"/>
        <v>0</v>
      </c>
      <c r="K66" s="237">
        <f t="shared" si="6"/>
        <v>0</v>
      </c>
      <c r="L66" s="236">
        <f t="shared" si="8"/>
        <v>0</v>
      </c>
      <c r="M66" s="234">
        <f t="shared" si="9"/>
        <v>0</v>
      </c>
      <c r="N66" s="234">
        <f>IF(M65=0,IF(L66&gt;0.5*C$15,B66+0.5*'[1]Тип І.'!H$12,0),0)</f>
        <v>0</v>
      </c>
      <c r="O66" s="227">
        <f t="shared" si="10"/>
        <v>0</v>
      </c>
      <c r="P66" s="230">
        <f t="shared" si="11"/>
        <v>0</v>
      </c>
      <c r="Q66" s="235">
        <f t="shared" si="13"/>
        <v>0</v>
      </c>
    </row>
    <row r="67" spans="1:17" ht="12.75">
      <c r="A67" s="232">
        <f t="shared" si="12"/>
        <v>51</v>
      </c>
      <c r="B67" s="233">
        <f>'[1]Тип І.'!A57</f>
        <v>0</v>
      </c>
      <c r="C67" s="233">
        <f>'[1]Тип І.'!B57</f>
        <v>0</v>
      </c>
      <c r="D67" s="227">
        <f t="shared" si="7"/>
        <v>0</v>
      </c>
      <c r="E67" s="234">
        <f t="shared" si="0"/>
        <v>0</v>
      </c>
      <c r="F67" s="234">
        <f t="shared" si="1"/>
        <v>0</v>
      </c>
      <c r="G67" s="234">
        <f t="shared" si="2"/>
        <v>0</v>
      </c>
      <c r="H67" s="235">
        <f t="shared" si="3"/>
        <v>0</v>
      </c>
      <c r="I67" s="236">
        <f t="shared" si="4"/>
        <v>0</v>
      </c>
      <c r="J67" s="234">
        <f t="shared" si="5"/>
        <v>0</v>
      </c>
      <c r="K67" s="237">
        <f t="shared" si="6"/>
        <v>0</v>
      </c>
      <c r="L67" s="236">
        <f t="shared" si="8"/>
        <v>0</v>
      </c>
      <c r="M67" s="234">
        <f t="shared" si="9"/>
        <v>0</v>
      </c>
      <c r="N67" s="234">
        <f>IF(M66=0,IF(L67&gt;0.5*C$15,B67+0.5*'[1]Тип І.'!H$12,0),0)</f>
        <v>0</v>
      </c>
      <c r="O67" s="227">
        <f t="shared" si="10"/>
        <v>0</v>
      </c>
      <c r="P67" s="230">
        <f t="shared" si="11"/>
        <v>0</v>
      </c>
      <c r="Q67" s="235">
        <f t="shared" si="13"/>
        <v>0</v>
      </c>
    </row>
    <row r="68" spans="1:17" ht="12.75">
      <c r="A68" s="232">
        <f t="shared" si="12"/>
        <v>52</v>
      </c>
      <c r="B68" s="233">
        <f>'[1]Тип І.'!A57</f>
        <v>0</v>
      </c>
      <c r="C68" s="233">
        <f>'[1]Тип І.'!B57</f>
        <v>0</v>
      </c>
      <c r="D68" s="227">
        <f t="shared" si="7"/>
        <v>0</v>
      </c>
      <c r="E68" s="234">
        <f t="shared" si="0"/>
        <v>0</v>
      </c>
      <c r="F68" s="234">
        <f t="shared" si="1"/>
        <v>0</v>
      </c>
      <c r="G68" s="234">
        <f t="shared" si="2"/>
        <v>0</v>
      </c>
      <c r="H68" s="235">
        <f t="shared" si="3"/>
        <v>0</v>
      </c>
      <c r="I68" s="236">
        <f t="shared" si="4"/>
        <v>0</v>
      </c>
      <c r="J68" s="234">
        <f t="shared" si="5"/>
        <v>0</v>
      </c>
      <c r="K68" s="237">
        <f t="shared" si="6"/>
        <v>0</v>
      </c>
      <c r="L68" s="236">
        <f t="shared" si="8"/>
        <v>0</v>
      </c>
      <c r="M68" s="234">
        <f t="shared" si="9"/>
        <v>0</v>
      </c>
      <c r="N68" s="234">
        <f>IF(M67=0,IF(L68&gt;0.5*C$15,B68+0.5*'[1]Тип І.'!H$12,0),0)</f>
        <v>0</v>
      </c>
      <c r="O68" s="227">
        <f t="shared" si="10"/>
        <v>0</v>
      </c>
      <c r="P68" s="230">
        <f t="shared" si="11"/>
        <v>0</v>
      </c>
      <c r="Q68" s="235">
        <f t="shared" si="13"/>
        <v>0</v>
      </c>
    </row>
    <row r="69" spans="1:17" ht="12.75">
      <c r="A69" s="232">
        <f t="shared" si="12"/>
        <v>53</v>
      </c>
      <c r="B69" s="233">
        <f>'[1]Тип І.'!A58</f>
        <v>0</v>
      </c>
      <c r="C69" s="233">
        <f>'[1]Тип І.'!B58</f>
        <v>0</v>
      </c>
      <c r="D69" s="227">
        <f t="shared" si="7"/>
        <v>0</v>
      </c>
      <c r="E69" s="234">
        <f t="shared" si="0"/>
        <v>0</v>
      </c>
      <c r="F69" s="234">
        <f t="shared" si="1"/>
        <v>0</v>
      </c>
      <c r="G69" s="234">
        <f t="shared" si="2"/>
        <v>0</v>
      </c>
      <c r="H69" s="235">
        <f t="shared" si="3"/>
        <v>0</v>
      </c>
      <c r="I69" s="236">
        <f t="shared" si="4"/>
        <v>0</v>
      </c>
      <c r="J69" s="234">
        <f t="shared" si="5"/>
        <v>0</v>
      </c>
      <c r="K69" s="237">
        <f t="shared" si="6"/>
        <v>0</v>
      </c>
      <c r="L69" s="236">
        <f t="shared" si="8"/>
        <v>0</v>
      </c>
      <c r="M69" s="234">
        <f t="shared" si="9"/>
        <v>0</v>
      </c>
      <c r="N69" s="234">
        <f>IF(M68=0,IF(L69&gt;0.5*C$15,B69+0.5*'[1]Тип І.'!H$12,0),0)</f>
        <v>0</v>
      </c>
      <c r="O69" s="227">
        <f t="shared" si="10"/>
        <v>0</v>
      </c>
      <c r="P69" s="230">
        <f t="shared" si="11"/>
        <v>0</v>
      </c>
      <c r="Q69" s="235">
        <f t="shared" si="13"/>
        <v>0</v>
      </c>
    </row>
    <row r="70" spans="1:17" ht="12.75">
      <c r="A70" s="232">
        <f t="shared" si="12"/>
        <v>54</v>
      </c>
      <c r="B70" s="233">
        <f>'[1]Тип І.'!A59</f>
        <v>0</v>
      </c>
      <c r="C70" s="233">
        <f>'[1]Тип І.'!B59</f>
        <v>0</v>
      </c>
      <c r="D70" s="227">
        <f t="shared" si="7"/>
        <v>0</v>
      </c>
      <c r="E70" s="234">
        <f t="shared" si="0"/>
        <v>0</v>
      </c>
      <c r="F70" s="234">
        <f t="shared" si="1"/>
        <v>0</v>
      </c>
      <c r="G70" s="234">
        <f t="shared" si="2"/>
        <v>0</v>
      </c>
      <c r="H70" s="235">
        <f t="shared" si="3"/>
        <v>0</v>
      </c>
      <c r="I70" s="236">
        <f t="shared" si="4"/>
        <v>0</v>
      </c>
      <c r="J70" s="234">
        <f t="shared" si="5"/>
        <v>0</v>
      </c>
      <c r="K70" s="237">
        <f t="shared" si="6"/>
        <v>0</v>
      </c>
      <c r="L70" s="236">
        <f t="shared" si="8"/>
        <v>0</v>
      </c>
      <c r="M70" s="234">
        <f t="shared" si="9"/>
        <v>0</v>
      </c>
      <c r="N70" s="234">
        <f>IF(M69=0,IF(L70&gt;0.5*C$15,B70+0.5*'[1]Тип І.'!H$12,0),0)</f>
        <v>0</v>
      </c>
      <c r="O70" s="227">
        <f t="shared" si="10"/>
        <v>0</v>
      </c>
      <c r="P70" s="230">
        <f t="shared" si="11"/>
        <v>0</v>
      </c>
      <c r="Q70" s="235">
        <f t="shared" si="13"/>
        <v>0</v>
      </c>
    </row>
    <row r="71" spans="1:17" ht="12.75">
      <c r="A71" s="232">
        <f t="shared" si="12"/>
        <v>55</v>
      </c>
      <c r="B71" s="233">
        <f>'[1]Тип І.'!A60</f>
        <v>0</v>
      </c>
      <c r="C71" s="233">
        <f>'[1]Тип І.'!B60</f>
        <v>0</v>
      </c>
      <c r="D71" s="227">
        <f t="shared" si="7"/>
        <v>0</v>
      </c>
      <c r="E71" s="234">
        <f t="shared" si="0"/>
        <v>0</v>
      </c>
      <c r="F71" s="234">
        <f t="shared" si="1"/>
        <v>0</v>
      </c>
      <c r="G71" s="234">
        <f t="shared" si="2"/>
        <v>0</v>
      </c>
      <c r="H71" s="235">
        <f t="shared" si="3"/>
        <v>0</v>
      </c>
      <c r="I71" s="236">
        <f t="shared" si="4"/>
        <v>0</v>
      </c>
      <c r="J71" s="234">
        <f t="shared" si="5"/>
        <v>0</v>
      </c>
      <c r="K71" s="237">
        <f t="shared" si="6"/>
        <v>0</v>
      </c>
      <c r="L71" s="236">
        <f t="shared" si="8"/>
        <v>0</v>
      </c>
      <c r="M71" s="234">
        <f t="shared" si="9"/>
        <v>0</v>
      </c>
      <c r="N71" s="234">
        <f>IF(M70=0,IF(L71&gt;0.5*C$15,B71+0.5*'[1]Тип І.'!H$12,0),0)</f>
        <v>0</v>
      </c>
      <c r="O71" s="227">
        <f t="shared" si="10"/>
        <v>0</v>
      </c>
      <c r="P71" s="230">
        <f t="shared" si="11"/>
        <v>0</v>
      </c>
      <c r="Q71" s="235">
        <f t="shared" si="13"/>
        <v>0</v>
      </c>
    </row>
    <row r="72" spans="1:17" ht="12.75">
      <c r="A72" s="232">
        <f t="shared" si="12"/>
        <v>56</v>
      </c>
      <c r="B72" s="233">
        <f>'[1]Тип І.'!A61</f>
        <v>0</v>
      </c>
      <c r="C72" s="233">
        <f>'[1]Тип І.'!B61</f>
        <v>0</v>
      </c>
      <c r="D72" s="227">
        <f t="shared" si="7"/>
        <v>0</v>
      </c>
      <c r="E72" s="234">
        <f t="shared" si="0"/>
        <v>0</v>
      </c>
      <c r="F72" s="234">
        <f t="shared" si="1"/>
        <v>0</v>
      </c>
      <c r="G72" s="234">
        <f t="shared" si="2"/>
        <v>0</v>
      </c>
      <c r="H72" s="235">
        <f t="shared" si="3"/>
        <v>0</v>
      </c>
      <c r="I72" s="236">
        <f t="shared" si="4"/>
        <v>0</v>
      </c>
      <c r="J72" s="234">
        <f t="shared" si="5"/>
        <v>0</v>
      </c>
      <c r="K72" s="237">
        <f t="shared" si="6"/>
        <v>0</v>
      </c>
      <c r="L72" s="236">
        <f t="shared" si="8"/>
        <v>0</v>
      </c>
      <c r="M72" s="234">
        <f t="shared" si="9"/>
        <v>0</v>
      </c>
      <c r="N72" s="234">
        <f>IF(M71=0,IF(L72&gt;0.5*C$15,B72+0.5*'[1]Тип І.'!H$12,0),0)</f>
        <v>0</v>
      </c>
      <c r="O72" s="227">
        <f t="shared" si="10"/>
        <v>0</v>
      </c>
      <c r="P72" s="230">
        <f t="shared" si="11"/>
        <v>0</v>
      </c>
      <c r="Q72" s="235">
        <f t="shared" si="13"/>
        <v>0</v>
      </c>
    </row>
    <row r="73" spans="1:17" ht="12.75">
      <c r="A73" s="232">
        <f t="shared" si="12"/>
        <v>57</v>
      </c>
      <c r="B73" s="233">
        <f>'[1]Тип І.'!A62</f>
        <v>0</v>
      </c>
      <c r="C73" s="233">
        <f>'[1]Тип І.'!B62</f>
        <v>0</v>
      </c>
      <c r="D73" s="227">
        <f t="shared" si="7"/>
        <v>0</v>
      </c>
      <c r="E73" s="234">
        <f t="shared" si="0"/>
        <v>0</v>
      </c>
      <c r="F73" s="234">
        <f t="shared" si="1"/>
        <v>0</v>
      </c>
      <c r="G73" s="234">
        <f t="shared" si="2"/>
        <v>0</v>
      </c>
      <c r="H73" s="235">
        <f t="shared" si="3"/>
        <v>0</v>
      </c>
      <c r="I73" s="236">
        <f t="shared" si="4"/>
        <v>0</v>
      </c>
      <c r="J73" s="234">
        <f t="shared" si="5"/>
        <v>0</v>
      </c>
      <c r="K73" s="237">
        <f t="shared" si="6"/>
        <v>0</v>
      </c>
      <c r="L73" s="236">
        <f t="shared" si="8"/>
        <v>0</v>
      </c>
      <c r="M73" s="234">
        <f t="shared" si="9"/>
        <v>0</v>
      </c>
      <c r="N73" s="234">
        <f>IF(M72=0,IF(L73&gt;0.5*C$15,B73+0.5*'[1]Тип І.'!H$12,0),0)</f>
        <v>0</v>
      </c>
      <c r="O73" s="227">
        <f t="shared" si="10"/>
        <v>0</v>
      </c>
      <c r="P73" s="230">
        <f t="shared" si="11"/>
        <v>0</v>
      </c>
      <c r="Q73" s="235">
        <f t="shared" si="13"/>
        <v>0</v>
      </c>
    </row>
    <row r="74" spans="1:17" ht="12.75">
      <c r="A74" s="232">
        <f t="shared" si="12"/>
        <v>58</v>
      </c>
      <c r="B74" s="233">
        <f>'[1]Тип І.'!A63</f>
        <v>0</v>
      </c>
      <c r="C74" s="233">
        <f>'[1]Тип І.'!B63</f>
        <v>0</v>
      </c>
      <c r="D74" s="227">
        <f t="shared" si="7"/>
        <v>0</v>
      </c>
      <c r="E74" s="234">
        <f t="shared" si="0"/>
        <v>0</v>
      </c>
      <c r="F74" s="234">
        <f t="shared" si="1"/>
        <v>0</v>
      </c>
      <c r="G74" s="234">
        <f t="shared" si="2"/>
        <v>0</v>
      </c>
      <c r="H74" s="235">
        <f t="shared" si="3"/>
        <v>0</v>
      </c>
      <c r="I74" s="236">
        <f t="shared" si="4"/>
        <v>0</v>
      </c>
      <c r="J74" s="234">
        <f t="shared" si="5"/>
        <v>0</v>
      </c>
      <c r="K74" s="237">
        <f t="shared" si="6"/>
        <v>0</v>
      </c>
      <c r="L74" s="236">
        <f t="shared" si="8"/>
        <v>0</v>
      </c>
      <c r="M74" s="234">
        <f t="shared" si="9"/>
        <v>0</v>
      </c>
      <c r="N74" s="234">
        <f>IF(M73=0,IF(L74&gt;0.5*C$15,B74+0.5*'[1]Тип І.'!H$12,0),0)</f>
        <v>0</v>
      </c>
      <c r="O74" s="227">
        <f t="shared" si="10"/>
        <v>0</v>
      </c>
      <c r="P74" s="230">
        <f t="shared" si="11"/>
        <v>0</v>
      </c>
      <c r="Q74" s="235">
        <f t="shared" si="13"/>
        <v>0</v>
      </c>
    </row>
    <row r="75" spans="1:17" ht="12.75">
      <c r="A75" s="232">
        <f t="shared" si="12"/>
        <v>59</v>
      </c>
      <c r="B75" s="233">
        <f>'[1]Тип І.'!A64</f>
        <v>0</v>
      </c>
      <c r="C75" s="233">
        <f>'[1]Тип І.'!B64</f>
        <v>0</v>
      </c>
      <c r="D75" s="227">
        <f t="shared" si="7"/>
        <v>0</v>
      </c>
      <c r="E75" s="234">
        <f t="shared" si="0"/>
        <v>0</v>
      </c>
      <c r="F75" s="234">
        <f t="shared" si="1"/>
        <v>0</v>
      </c>
      <c r="G75" s="234">
        <f t="shared" si="2"/>
        <v>0</v>
      </c>
      <c r="H75" s="235">
        <f t="shared" si="3"/>
        <v>0</v>
      </c>
      <c r="I75" s="236">
        <f t="shared" si="4"/>
        <v>0</v>
      </c>
      <c r="J75" s="234">
        <f t="shared" si="5"/>
        <v>0</v>
      </c>
      <c r="K75" s="237">
        <f t="shared" si="6"/>
        <v>0</v>
      </c>
      <c r="L75" s="236">
        <f t="shared" si="8"/>
        <v>0</v>
      </c>
      <c r="M75" s="234">
        <f t="shared" si="9"/>
        <v>0</v>
      </c>
      <c r="N75" s="234">
        <f>IF(M74=0,IF(L75&gt;0.5*C$15,B75+0.5*'[1]Тип І.'!H$12,0),0)</f>
        <v>0</v>
      </c>
      <c r="O75" s="227">
        <f t="shared" si="10"/>
        <v>0</v>
      </c>
      <c r="P75" s="230">
        <f t="shared" si="11"/>
        <v>0</v>
      </c>
      <c r="Q75" s="235">
        <f t="shared" si="13"/>
        <v>0</v>
      </c>
    </row>
    <row r="76" spans="1:17" ht="12.75">
      <c r="A76" s="232">
        <f t="shared" si="12"/>
        <v>60</v>
      </c>
      <c r="B76" s="233">
        <f>'[1]Тип І.'!A65</f>
        <v>0</v>
      </c>
      <c r="C76" s="233">
        <f>'[1]Тип І.'!B65</f>
        <v>0</v>
      </c>
      <c r="D76" s="227">
        <f t="shared" si="7"/>
        <v>0</v>
      </c>
      <c r="E76" s="234">
        <f t="shared" si="0"/>
        <v>0</v>
      </c>
      <c r="F76" s="234">
        <f t="shared" si="1"/>
        <v>0</v>
      </c>
      <c r="G76" s="234">
        <f t="shared" si="2"/>
        <v>0</v>
      </c>
      <c r="H76" s="235">
        <f t="shared" si="3"/>
        <v>0</v>
      </c>
      <c r="I76" s="236">
        <f t="shared" si="4"/>
        <v>0</v>
      </c>
      <c r="J76" s="234">
        <f t="shared" si="5"/>
        <v>0</v>
      </c>
      <c r="K76" s="237">
        <f t="shared" si="6"/>
        <v>0</v>
      </c>
      <c r="L76" s="236">
        <f t="shared" si="8"/>
        <v>0</v>
      </c>
      <c r="M76" s="234">
        <f t="shared" si="9"/>
        <v>0</v>
      </c>
      <c r="N76" s="234">
        <f>IF(M75=0,IF(L76&gt;0.5*C$15,B76+0.5*'[1]Тип І.'!H$12,0),0)</f>
        <v>0</v>
      </c>
      <c r="O76" s="227">
        <f t="shared" si="10"/>
        <v>0</v>
      </c>
      <c r="P76" s="230">
        <f t="shared" si="11"/>
        <v>0</v>
      </c>
      <c r="Q76" s="235">
        <f t="shared" si="13"/>
        <v>0</v>
      </c>
    </row>
    <row r="77" spans="1:17" ht="12.75">
      <c r="A77" s="232">
        <f t="shared" si="12"/>
        <v>61</v>
      </c>
      <c r="B77" s="233">
        <f>'[1]Тип І.'!A66</f>
        <v>0</v>
      </c>
      <c r="C77" s="233">
        <f>'[1]Тип І.'!B66</f>
        <v>0</v>
      </c>
      <c r="D77" s="227">
        <f t="shared" si="7"/>
        <v>0</v>
      </c>
      <c r="E77" s="234">
        <f t="shared" si="0"/>
        <v>0</v>
      </c>
      <c r="F77" s="234">
        <f t="shared" si="1"/>
        <v>0</v>
      </c>
      <c r="G77" s="234">
        <f t="shared" si="2"/>
        <v>0</v>
      </c>
      <c r="H77" s="235">
        <f t="shared" si="3"/>
        <v>0</v>
      </c>
      <c r="I77" s="236">
        <f t="shared" si="4"/>
        <v>0</v>
      </c>
      <c r="J77" s="234">
        <f t="shared" si="5"/>
        <v>0</v>
      </c>
      <c r="K77" s="237">
        <f t="shared" si="6"/>
        <v>0</v>
      </c>
      <c r="L77" s="236">
        <f t="shared" si="8"/>
        <v>0</v>
      </c>
      <c r="M77" s="234">
        <f t="shared" si="9"/>
        <v>0</v>
      </c>
      <c r="N77" s="234">
        <f>IF(M76=0,IF(L77&gt;0.5*C$15,B77+0.5*'[1]Тип І.'!H$12,0),0)</f>
        <v>0</v>
      </c>
      <c r="O77" s="227">
        <f t="shared" si="10"/>
        <v>0</v>
      </c>
      <c r="P77" s="230">
        <f t="shared" si="11"/>
        <v>0</v>
      </c>
      <c r="Q77" s="235">
        <f t="shared" si="13"/>
        <v>0</v>
      </c>
    </row>
    <row r="78" spans="1:17" ht="12.75">
      <c r="A78" s="232">
        <f t="shared" si="12"/>
        <v>62</v>
      </c>
      <c r="B78" s="233">
        <f>'[1]Тип І.'!A67</f>
        <v>0</v>
      </c>
      <c r="C78" s="233">
        <f>'[1]Тип І.'!B67</f>
        <v>0</v>
      </c>
      <c r="D78" s="227">
        <f t="shared" si="7"/>
        <v>0</v>
      </c>
      <c r="E78" s="234">
        <f t="shared" si="0"/>
        <v>0</v>
      </c>
      <c r="F78" s="234">
        <f t="shared" si="1"/>
        <v>0</v>
      </c>
      <c r="G78" s="234">
        <f t="shared" si="2"/>
        <v>0</v>
      </c>
      <c r="H78" s="235">
        <f t="shared" si="3"/>
        <v>0</v>
      </c>
      <c r="I78" s="236">
        <f t="shared" si="4"/>
        <v>0</v>
      </c>
      <c r="J78" s="234">
        <f t="shared" si="5"/>
        <v>0</v>
      </c>
      <c r="K78" s="237">
        <f t="shared" si="6"/>
        <v>0</v>
      </c>
      <c r="L78" s="236">
        <f t="shared" si="8"/>
        <v>0</v>
      </c>
      <c r="M78" s="234">
        <f t="shared" si="9"/>
        <v>0</v>
      </c>
      <c r="N78" s="234">
        <f>IF(M77=0,IF(L78&gt;0.5*C$15,B78+0.5*'[1]Тип І.'!H$12,0),0)</f>
        <v>0</v>
      </c>
      <c r="O78" s="227">
        <f t="shared" si="10"/>
        <v>0</v>
      </c>
      <c r="P78" s="230">
        <f t="shared" si="11"/>
        <v>0</v>
      </c>
      <c r="Q78" s="235">
        <f t="shared" si="13"/>
        <v>0</v>
      </c>
    </row>
    <row r="79" spans="1:17" ht="12.75">
      <c r="A79" s="232">
        <f t="shared" si="12"/>
        <v>63</v>
      </c>
      <c r="B79" s="233">
        <f>'[1]Тип І.'!A68</f>
        <v>0</v>
      </c>
      <c r="C79" s="233">
        <f>'[1]Тип І.'!B68</f>
        <v>0</v>
      </c>
      <c r="D79" s="227">
        <f t="shared" si="7"/>
        <v>0</v>
      </c>
      <c r="E79" s="234">
        <f t="shared" si="0"/>
        <v>0</v>
      </c>
      <c r="F79" s="234">
        <f t="shared" si="1"/>
        <v>0</v>
      </c>
      <c r="G79" s="234">
        <f t="shared" si="2"/>
        <v>0</v>
      </c>
      <c r="H79" s="235">
        <f t="shared" si="3"/>
        <v>0</v>
      </c>
      <c r="I79" s="236">
        <f t="shared" si="4"/>
        <v>0</v>
      </c>
      <c r="J79" s="234">
        <f t="shared" si="5"/>
        <v>0</v>
      </c>
      <c r="K79" s="237">
        <f t="shared" si="6"/>
        <v>0</v>
      </c>
      <c r="L79" s="236">
        <f t="shared" si="8"/>
        <v>0</v>
      </c>
      <c r="M79" s="234">
        <f t="shared" si="9"/>
        <v>0</v>
      </c>
      <c r="N79" s="234">
        <f>IF(M78=0,IF(L79&gt;0.5*C$15,B79+0.5*'[1]Тип І.'!H$12,0),0)</f>
        <v>0</v>
      </c>
      <c r="O79" s="227">
        <f t="shared" si="10"/>
        <v>0</v>
      </c>
      <c r="P79" s="230">
        <f t="shared" si="11"/>
        <v>0</v>
      </c>
      <c r="Q79" s="235">
        <f t="shared" si="13"/>
        <v>0</v>
      </c>
    </row>
    <row r="80" spans="1:17" ht="12.75">
      <c r="A80" s="232">
        <f t="shared" si="12"/>
        <v>64</v>
      </c>
      <c r="B80" s="233">
        <f>'[1]Тип І.'!A69</f>
        <v>0</v>
      </c>
      <c r="C80" s="233">
        <f>'[1]Тип І.'!B69</f>
        <v>0</v>
      </c>
      <c r="D80" s="227">
        <f t="shared" si="7"/>
        <v>0</v>
      </c>
      <c r="E80" s="234">
        <f t="shared" si="0"/>
        <v>0</v>
      </c>
      <c r="F80" s="234">
        <f t="shared" si="1"/>
        <v>0</v>
      </c>
      <c r="G80" s="234">
        <f t="shared" si="2"/>
        <v>0</v>
      </c>
      <c r="H80" s="235">
        <f t="shared" si="3"/>
        <v>0</v>
      </c>
      <c r="I80" s="236">
        <f t="shared" si="4"/>
        <v>0</v>
      </c>
      <c r="J80" s="234">
        <f t="shared" si="5"/>
        <v>0</v>
      </c>
      <c r="K80" s="237">
        <f t="shared" si="6"/>
        <v>0</v>
      </c>
      <c r="L80" s="236">
        <f t="shared" si="8"/>
        <v>0</v>
      </c>
      <c r="M80" s="234">
        <f t="shared" si="9"/>
        <v>0</v>
      </c>
      <c r="N80" s="234">
        <f>IF(M79=0,IF(L80&gt;0.5*C$15,B80+0.5*'[1]Тип І.'!H$12,0),0)</f>
        <v>0</v>
      </c>
      <c r="O80" s="227">
        <f t="shared" si="10"/>
        <v>0</v>
      </c>
      <c r="P80" s="230">
        <f t="shared" si="11"/>
        <v>0</v>
      </c>
      <c r="Q80" s="235">
        <f t="shared" si="13"/>
        <v>0</v>
      </c>
    </row>
    <row r="81" spans="1:17" ht="12.75">
      <c r="A81" s="232">
        <f t="shared" si="12"/>
        <v>65</v>
      </c>
      <c r="B81" s="233">
        <f>'[1]Тип І.'!A70</f>
        <v>0</v>
      </c>
      <c r="C81" s="233">
        <f>'[1]Тип І.'!B70</f>
        <v>0</v>
      </c>
      <c r="D81" s="227">
        <f t="shared" si="7"/>
        <v>0</v>
      </c>
      <c r="E81" s="234">
        <f aca="true" t="shared" si="14" ref="E81:E116">$C81*$D81</f>
        <v>0</v>
      </c>
      <c r="F81" s="234">
        <f aca="true" t="shared" si="15" ref="F81:F116">$C81*$D81^2</f>
        <v>0</v>
      </c>
      <c r="G81" s="234">
        <f aca="true" t="shared" si="16" ref="G81:G116">$C81*$D81^3</f>
        <v>0</v>
      </c>
      <c r="H81" s="235">
        <f aca="true" t="shared" si="17" ref="H81:H116">$C81*$D81^4</f>
        <v>0</v>
      </c>
      <c r="I81" s="236">
        <f aca="true" t="shared" si="18" ref="I81:I116">IF(C81=C$4,B81,)</f>
        <v>0</v>
      </c>
      <c r="J81" s="234">
        <f aca="true" t="shared" si="19" ref="J81:J112">IF(I81&gt;0,A81,)</f>
        <v>0</v>
      </c>
      <c r="K81" s="237">
        <f aca="true" t="shared" si="20" ref="K81:K116">IF(B81=0,0,1)</f>
        <v>0</v>
      </c>
      <c r="L81" s="236">
        <f t="shared" si="8"/>
        <v>0</v>
      </c>
      <c r="M81" s="234">
        <f t="shared" si="9"/>
        <v>0</v>
      </c>
      <c r="N81" s="234">
        <f>IF(M80=0,IF(L81&gt;0.5*C$15,B81+0.5*'[1]Тип І.'!H$12,0),0)</f>
        <v>0</v>
      </c>
      <c r="O81" s="227">
        <f t="shared" si="10"/>
        <v>0</v>
      </c>
      <c r="P81" s="230">
        <f t="shared" si="11"/>
        <v>0</v>
      </c>
      <c r="Q81" s="235">
        <f t="shared" si="13"/>
        <v>0</v>
      </c>
    </row>
    <row r="82" spans="1:17" ht="12.75">
      <c r="A82" s="232">
        <f t="shared" si="12"/>
        <v>66</v>
      </c>
      <c r="B82" s="233">
        <f>'[1]Тип І.'!A71</f>
        <v>0</v>
      </c>
      <c r="C82" s="233">
        <f>'[1]Тип І.'!B71</f>
        <v>0</v>
      </c>
      <c r="D82" s="227">
        <f aca="true" t="shared" si="21" ref="D82:D116">IF($D$3=0,IF($C82=C$4,0,IF(A82&lt;=$K$4,(A82-$J$4),)),IF($C82=Q$4,0,IF(A82&lt;=$K$4,(A82-$O$4),)))</f>
        <v>0</v>
      </c>
      <c r="E82" s="234">
        <f t="shared" si="14"/>
        <v>0</v>
      </c>
      <c r="F82" s="234">
        <f t="shared" si="15"/>
        <v>0</v>
      </c>
      <c r="G82" s="234">
        <f t="shared" si="16"/>
        <v>0</v>
      </c>
      <c r="H82" s="235">
        <f t="shared" si="17"/>
        <v>0</v>
      </c>
      <c r="I82" s="236">
        <f t="shared" si="18"/>
        <v>0</v>
      </c>
      <c r="J82" s="234">
        <f t="shared" si="19"/>
        <v>0</v>
      </c>
      <c r="K82" s="237">
        <f t="shared" si="20"/>
        <v>0</v>
      </c>
      <c r="L82" s="236">
        <f aca="true" t="shared" si="22" ref="L82:L116">IF(B81&gt;0,(C82+L81),0)</f>
        <v>0</v>
      </c>
      <c r="M82" s="234">
        <f aca="true" t="shared" si="23" ref="M82:M113">IF(L82&gt;(0.5*C$15),B82,)</f>
        <v>0</v>
      </c>
      <c r="N82" s="234">
        <f>IF(M81=0,IF(L82&gt;0.5*C$15,B82+0.5*'[1]Тип І.'!H$12,0),0)</f>
        <v>0</v>
      </c>
      <c r="O82" s="227">
        <f aca="true" t="shared" si="24" ref="O82:O116">IF(N82&gt;0,A82,)</f>
        <v>0</v>
      </c>
      <c r="P82" s="230">
        <f aca="true" t="shared" si="25" ref="P82:P116">IF(B82=0,0,1)</f>
        <v>0</v>
      </c>
      <c r="Q82" s="235">
        <f t="shared" si="13"/>
        <v>0</v>
      </c>
    </row>
    <row r="83" spans="1:17" ht="12.75">
      <c r="A83" s="232">
        <f aca="true" t="shared" si="26" ref="A83:A116">A82+1</f>
        <v>67</v>
      </c>
      <c r="B83" s="233">
        <f>'[1]Тип І.'!A72</f>
        <v>0</v>
      </c>
      <c r="C83" s="233">
        <f>'[1]Тип І.'!B72</f>
        <v>0</v>
      </c>
      <c r="D83" s="227">
        <f t="shared" si="21"/>
        <v>0</v>
      </c>
      <c r="E83" s="234">
        <f t="shared" si="14"/>
        <v>0</v>
      </c>
      <c r="F83" s="234">
        <f t="shared" si="15"/>
        <v>0</v>
      </c>
      <c r="G83" s="234">
        <f t="shared" si="16"/>
        <v>0</v>
      </c>
      <c r="H83" s="235">
        <f t="shared" si="17"/>
        <v>0</v>
      </c>
      <c r="I83" s="236">
        <f t="shared" si="18"/>
        <v>0</v>
      </c>
      <c r="J83" s="234">
        <f t="shared" si="19"/>
        <v>0</v>
      </c>
      <c r="K83" s="237">
        <f t="shared" si="20"/>
        <v>0</v>
      </c>
      <c r="L83" s="236">
        <f t="shared" si="22"/>
        <v>0</v>
      </c>
      <c r="M83" s="234">
        <f t="shared" si="23"/>
        <v>0</v>
      </c>
      <c r="N83" s="234">
        <f>IF(M82=0,IF(L83&gt;0.5*C$15,B83+0.5*'[1]Тип І.'!H$12,0),0)</f>
        <v>0</v>
      </c>
      <c r="O83" s="227">
        <f t="shared" si="24"/>
        <v>0</v>
      </c>
      <c r="P83" s="230">
        <f t="shared" si="25"/>
        <v>0</v>
      </c>
      <c r="Q83" s="235">
        <f aca="true" t="shared" si="27" ref="Q83:Q116">IF(N83&gt;0,C83,0)</f>
        <v>0</v>
      </c>
    </row>
    <row r="84" spans="1:17" ht="12.75">
      <c r="A84" s="232">
        <f t="shared" si="26"/>
        <v>68</v>
      </c>
      <c r="B84" s="233">
        <f>'[1]Тип І.'!A73</f>
        <v>0</v>
      </c>
      <c r="C84" s="233">
        <f>'[1]Тип І.'!B73</f>
        <v>0</v>
      </c>
      <c r="D84" s="227">
        <f t="shared" si="21"/>
        <v>0</v>
      </c>
      <c r="E84" s="234">
        <f t="shared" si="14"/>
        <v>0</v>
      </c>
      <c r="F84" s="234">
        <f t="shared" si="15"/>
        <v>0</v>
      </c>
      <c r="G84" s="234">
        <f t="shared" si="16"/>
        <v>0</v>
      </c>
      <c r="H84" s="235">
        <f t="shared" si="17"/>
        <v>0</v>
      </c>
      <c r="I84" s="236">
        <f t="shared" si="18"/>
        <v>0</v>
      </c>
      <c r="J84" s="234">
        <f t="shared" si="19"/>
        <v>0</v>
      </c>
      <c r="K84" s="237">
        <f t="shared" si="20"/>
        <v>0</v>
      </c>
      <c r="L84" s="236">
        <f t="shared" si="22"/>
        <v>0</v>
      </c>
      <c r="M84" s="234">
        <f t="shared" si="23"/>
        <v>0</v>
      </c>
      <c r="N84" s="234">
        <f>IF(M83=0,IF(L84&gt;0.5*C$15,B84+0.5*'[1]Тип І.'!H$12,0),0)</f>
        <v>0</v>
      </c>
      <c r="O84" s="227">
        <f t="shared" si="24"/>
        <v>0</v>
      </c>
      <c r="P84" s="230">
        <f t="shared" si="25"/>
        <v>0</v>
      </c>
      <c r="Q84" s="235">
        <f t="shared" si="27"/>
        <v>0</v>
      </c>
    </row>
    <row r="85" spans="1:17" ht="12.75">
      <c r="A85" s="232">
        <f t="shared" si="26"/>
        <v>69</v>
      </c>
      <c r="B85" s="233">
        <f>'[1]Тип І.'!A74</f>
        <v>0</v>
      </c>
      <c r="C85" s="233">
        <f>'[1]Тип І.'!B74</f>
        <v>0</v>
      </c>
      <c r="D85" s="227">
        <f t="shared" si="21"/>
        <v>0</v>
      </c>
      <c r="E85" s="234">
        <f t="shared" si="14"/>
        <v>0</v>
      </c>
      <c r="F85" s="234">
        <f t="shared" si="15"/>
        <v>0</v>
      </c>
      <c r="G85" s="234">
        <f t="shared" si="16"/>
        <v>0</v>
      </c>
      <c r="H85" s="235">
        <f t="shared" si="17"/>
        <v>0</v>
      </c>
      <c r="I85" s="236">
        <f t="shared" si="18"/>
        <v>0</v>
      </c>
      <c r="J85" s="234">
        <f t="shared" si="19"/>
        <v>0</v>
      </c>
      <c r="K85" s="237">
        <f t="shared" si="20"/>
        <v>0</v>
      </c>
      <c r="L85" s="236">
        <f t="shared" si="22"/>
        <v>0</v>
      </c>
      <c r="M85" s="234">
        <f t="shared" si="23"/>
        <v>0</v>
      </c>
      <c r="N85" s="234">
        <f>IF(M84=0,IF(L85&gt;0.5*C$15,B85+0.5*'[1]Тип І.'!H$12,0),0)</f>
        <v>0</v>
      </c>
      <c r="O85" s="227">
        <f t="shared" si="24"/>
        <v>0</v>
      </c>
      <c r="P85" s="230">
        <f t="shared" si="25"/>
        <v>0</v>
      </c>
      <c r="Q85" s="235">
        <f t="shared" si="27"/>
        <v>0</v>
      </c>
    </row>
    <row r="86" spans="1:17" ht="12.75">
      <c r="A86" s="232">
        <f t="shared" si="26"/>
        <v>70</v>
      </c>
      <c r="B86" s="233">
        <f>'[1]Тип І.'!A75</f>
        <v>0</v>
      </c>
      <c r="C86" s="233">
        <f>'[1]Тип І.'!B75</f>
        <v>0</v>
      </c>
      <c r="D86" s="227">
        <f t="shared" si="21"/>
        <v>0</v>
      </c>
      <c r="E86" s="234">
        <f t="shared" si="14"/>
        <v>0</v>
      </c>
      <c r="F86" s="234">
        <f t="shared" si="15"/>
        <v>0</v>
      </c>
      <c r="G86" s="234">
        <f t="shared" si="16"/>
        <v>0</v>
      </c>
      <c r="H86" s="235">
        <f t="shared" si="17"/>
        <v>0</v>
      </c>
      <c r="I86" s="236">
        <f t="shared" si="18"/>
        <v>0</v>
      </c>
      <c r="J86" s="234">
        <f t="shared" si="19"/>
        <v>0</v>
      </c>
      <c r="K86" s="237">
        <f t="shared" si="20"/>
        <v>0</v>
      </c>
      <c r="L86" s="236">
        <f t="shared" si="22"/>
        <v>0</v>
      </c>
      <c r="M86" s="234">
        <f t="shared" si="23"/>
        <v>0</v>
      </c>
      <c r="N86" s="234">
        <f>IF(M85=0,IF(L86&gt;0.5*C$15,B86+0.5*'[1]Тип І.'!H$12,0),0)</f>
        <v>0</v>
      </c>
      <c r="O86" s="227">
        <f t="shared" si="24"/>
        <v>0</v>
      </c>
      <c r="P86" s="230">
        <f t="shared" si="25"/>
        <v>0</v>
      </c>
      <c r="Q86" s="235">
        <f t="shared" si="27"/>
        <v>0</v>
      </c>
    </row>
    <row r="87" spans="1:17" ht="12.75">
      <c r="A87" s="232">
        <f t="shared" si="26"/>
        <v>71</v>
      </c>
      <c r="B87" s="233">
        <f>'[1]Тип І.'!A76</f>
        <v>0</v>
      </c>
      <c r="C87" s="233">
        <f>'[1]Тип І.'!B76</f>
        <v>0</v>
      </c>
      <c r="D87" s="227">
        <f t="shared" si="21"/>
        <v>0</v>
      </c>
      <c r="E87" s="234">
        <f t="shared" si="14"/>
        <v>0</v>
      </c>
      <c r="F87" s="234">
        <f t="shared" si="15"/>
        <v>0</v>
      </c>
      <c r="G87" s="234">
        <f t="shared" si="16"/>
        <v>0</v>
      </c>
      <c r="H87" s="235">
        <f t="shared" si="17"/>
        <v>0</v>
      </c>
      <c r="I87" s="236">
        <f t="shared" si="18"/>
        <v>0</v>
      </c>
      <c r="J87" s="234">
        <f t="shared" si="19"/>
        <v>0</v>
      </c>
      <c r="K87" s="237">
        <f t="shared" si="20"/>
        <v>0</v>
      </c>
      <c r="L87" s="236">
        <f t="shared" si="22"/>
        <v>0</v>
      </c>
      <c r="M87" s="234">
        <f t="shared" si="23"/>
        <v>0</v>
      </c>
      <c r="N87" s="234">
        <f>IF(M86=0,IF(L87&gt;0.5*C$15,B87+0.5*'[1]Тип І.'!H$12,0),0)</f>
        <v>0</v>
      </c>
      <c r="O87" s="227">
        <f t="shared" si="24"/>
        <v>0</v>
      </c>
      <c r="P87" s="230">
        <f t="shared" si="25"/>
        <v>0</v>
      </c>
      <c r="Q87" s="235">
        <f t="shared" si="27"/>
        <v>0</v>
      </c>
    </row>
    <row r="88" spans="1:17" ht="12.75">
      <c r="A88" s="232">
        <f t="shared" si="26"/>
        <v>72</v>
      </c>
      <c r="B88" s="233">
        <f>'[1]Тип І.'!A77</f>
        <v>0</v>
      </c>
      <c r="C88" s="233">
        <f>'[1]Тип І.'!B77</f>
        <v>0</v>
      </c>
      <c r="D88" s="227">
        <f t="shared" si="21"/>
        <v>0</v>
      </c>
      <c r="E88" s="234">
        <f t="shared" si="14"/>
        <v>0</v>
      </c>
      <c r="F88" s="234">
        <f t="shared" si="15"/>
        <v>0</v>
      </c>
      <c r="G88" s="234">
        <f t="shared" si="16"/>
        <v>0</v>
      </c>
      <c r="H88" s="235">
        <f t="shared" si="17"/>
        <v>0</v>
      </c>
      <c r="I88" s="236">
        <f t="shared" si="18"/>
        <v>0</v>
      </c>
      <c r="J88" s="234">
        <f t="shared" si="19"/>
        <v>0</v>
      </c>
      <c r="K88" s="237">
        <f t="shared" si="20"/>
        <v>0</v>
      </c>
      <c r="L88" s="236">
        <f t="shared" si="22"/>
        <v>0</v>
      </c>
      <c r="M88" s="234">
        <f t="shared" si="23"/>
        <v>0</v>
      </c>
      <c r="N88" s="234">
        <f>IF(M87=0,IF(L88&gt;0.5*C$15,B88+0.5*'[1]Тип І.'!H$12,0),0)</f>
        <v>0</v>
      </c>
      <c r="O88" s="227">
        <f t="shared" si="24"/>
        <v>0</v>
      </c>
      <c r="P88" s="230">
        <f t="shared" si="25"/>
        <v>0</v>
      </c>
      <c r="Q88" s="235">
        <f t="shared" si="27"/>
        <v>0</v>
      </c>
    </row>
    <row r="89" spans="1:17" ht="12.75">
      <c r="A89" s="232">
        <f t="shared" si="26"/>
        <v>73</v>
      </c>
      <c r="B89" s="233">
        <f>'[1]Тип І.'!A78</f>
        <v>0</v>
      </c>
      <c r="C89" s="233">
        <f>'[1]Тип І.'!B78</f>
        <v>0</v>
      </c>
      <c r="D89" s="227">
        <f t="shared" si="21"/>
        <v>0</v>
      </c>
      <c r="E89" s="234">
        <f t="shared" si="14"/>
        <v>0</v>
      </c>
      <c r="F89" s="234">
        <f t="shared" si="15"/>
        <v>0</v>
      </c>
      <c r="G89" s="234">
        <f t="shared" si="16"/>
        <v>0</v>
      </c>
      <c r="H89" s="235">
        <f t="shared" si="17"/>
        <v>0</v>
      </c>
      <c r="I89" s="236">
        <f t="shared" si="18"/>
        <v>0</v>
      </c>
      <c r="J89" s="234">
        <f t="shared" si="19"/>
        <v>0</v>
      </c>
      <c r="K89" s="237">
        <f t="shared" si="20"/>
        <v>0</v>
      </c>
      <c r="L89" s="236">
        <f t="shared" si="22"/>
        <v>0</v>
      </c>
      <c r="M89" s="234">
        <f t="shared" si="23"/>
        <v>0</v>
      </c>
      <c r="N89" s="234">
        <f>IF(M88=0,IF(L89&gt;0.5*C$15,B89+0.5*'[1]Тип І.'!H$12,0),0)</f>
        <v>0</v>
      </c>
      <c r="O89" s="227">
        <f t="shared" si="24"/>
        <v>0</v>
      </c>
      <c r="P89" s="230">
        <f t="shared" si="25"/>
        <v>0</v>
      </c>
      <c r="Q89" s="235">
        <f t="shared" si="27"/>
        <v>0</v>
      </c>
    </row>
    <row r="90" spans="1:17" ht="12.75">
      <c r="A90" s="232">
        <f t="shared" si="26"/>
        <v>74</v>
      </c>
      <c r="B90" s="233">
        <f>'[1]Тип І.'!A79</f>
        <v>0</v>
      </c>
      <c r="C90" s="233">
        <f>'[1]Тип І.'!B79</f>
        <v>0</v>
      </c>
      <c r="D90" s="227">
        <f t="shared" si="21"/>
        <v>0</v>
      </c>
      <c r="E90" s="234">
        <f t="shared" si="14"/>
        <v>0</v>
      </c>
      <c r="F90" s="234">
        <f t="shared" si="15"/>
        <v>0</v>
      </c>
      <c r="G90" s="234">
        <f t="shared" si="16"/>
        <v>0</v>
      </c>
      <c r="H90" s="235">
        <f t="shared" si="17"/>
        <v>0</v>
      </c>
      <c r="I90" s="236">
        <f t="shared" si="18"/>
        <v>0</v>
      </c>
      <c r="J90" s="234">
        <f t="shared" si="19"/>
        <v>0</v>
      </c>
      <c r="K90" s="237">
        <f t="shared" si="20"/>
        <v>0</v>
      </c>
      <c r="L90" s="236">
        <f t="shared" si="22"/>
        <v>0</v>
      </c>
      <c r="M90" s="234">
        <f t="shared" si="23"/>
        <v>0</v>
      </c>
      <c r="N90" s="234">
        <f>IF(M89=0,IF(L90&gt;0.5*C$15,B90+0.5*'[1]Тип І.'!H$12,0),0)</f>
        <v>0</v>
      </c>
      <c r="O90" s="227">
        <f t="shared" si="24"/>
        <v>0</v>
      </c>
      <c r="P90" s="230">
        <f t="shared" si="25"/>
        <v>0</v>
      </c>
      <c r="Q90" s="235">
        <f t="shared" si="27"/>
        <v>0</v>
      </c>
    </row>
    <row r="91" spans="1:17" ht="12.75">
      <c r="A91" s="232">
        <f t="shared" si="26"/>
        <v>75</v>
      </c>
      <c r="B91" s="233">
        <f>'[1]Тип І.'!A80</f>
        <v>0</v>
      </c>
      <c r="C91" s="233">
        <f>'[1]Тип І.'!B80</f>
        <v>0</v>
      </c>
      <c r="D91" s="227">
        <f t="shared" si="21"/>
        <v>0</v>
      </c>
      <c r="E91" s="234">
        <f t="shared" si="14"/>
        <v>0</v>
      </c>
      <c r="F91" s="234">
        <f t="shared" si="15"/>
        <v>0</v>
      </c>
      <c r="G91" s="234">
        <f t="shared" si="16"/>
        <v>0</v>
      </c>
      <c r="H91" s="235">
        <f t="shared" si="17"/>
        <v>0</v>
      </c>
      <c r="I91" s="236">
        <f t="shared" si="18"/>
        <v>0</v>
      </c>
      <c r="J91" s="234">
        <f t="shared" si="19"/>
        <v>0</v>
      </c>
      <c r="K91" s="237">
        <f t="shared" si="20"/>
        <v>0</v>
      </c>
      <c r="L91" s="236">
        <f t="shared" si="22"/>
        <v>0</v>
      </c>
      <c r="M91" s="234">
        <f t="shared" si="23"/>
        <v>0</v>
      </c>
      <c r="N91" s="234">
        <f>IF(M90=0,IF(L91&gt;0.5*C$15,B91+0.5*'[1]Тип І.'!H$12,0),0)</f>
        <v>0</v>
      </c>
      <c r="O91" s="227">
        <f t="shared" si="24"/>
        <v>0</v>
      </c>
      <c r="P91" s="230">
        <f t="shared" si="25"/>
        <v>0</v>
      </c>
      <c r="Q91" s="235">
        <f t="shared" si="27"/>
        <v>0</v>
      </c>
    </row>
    <row r="92" spans="1:17" ht="12.75">
      <c r="A92" s="232">
        <f t="shared" si="26"/>
        <v>76</v>
      </c>
      <c r="B92" s="233">
        <f>'[1]Тип І.'!A81</f>
        <v>0</v>
      </c>
      <c r="C92" s="233">
        <f>'[1]Тип І.'!B81</f>
        <v>0</v>
      </c>
      <c r="D92" s="227">
        <f t="shared" si="21"/>
        <v>0</v>
      </c>
      <c r="E92" s="234">
        <f t="shared" si="14"/>
        <v>0</v>
      </c>
      <c r="F92" s="234">
        <f t="shared" si="15"/>
        <v>0</v>
      </c>
      <c r="G92" s="234">
        <f t="shared" si="16"/>
        <v>0</v>
      </c>
      <c r="H92" s="235">
        <f t="shared" si="17"/>
        <v>0</v>
      </c>
      <c r="I92" s="236">
        <f t="shared" si="18"/>
        <v>0</v>
      </c>
      <c r="J92" s="234">
        <f t="shared" si="19"/>
        <v>0</v>
      </c>
      <c r="K92" s="237">
        <f t="shared" si="20"/>
        <v>0</v>
      </c>
      <c r="L92" s="236">
        <f t="shared" si="22"/>
        <v>0</v>
      </c>
      <c r="M92" s="234">
        <f t="shared" si="23"/>
        <v>0</v>
      </c>
      <c r="N92" s="234">
        <f>IF(M91=0,IF(L92&gt;0.5*C$15,B92+0.5*'[1]Тип І.'!H$12,0),0)</f>
        <v>0</v>
      </c>
      <c r="O92" s="227">
        <f t="shared" si="24"/>
        <v>0</v>
      </c>
      <c r="P92" s="230">
        <f t="shared" si="25"/>
        <v>0</v>
      </c>
      <c r="Q92" s="235">
        <f t="shared" si="27"/>
        <v>0</v>
      </c>
    </row>
    <row r="93" spans="1:17" ht="12.75">
      <c r="A93" s="232">
        <f t="shared" si="26"/>
        <v>77</v>
      </c>
      <c r="B93" s="233">
        <f>'[1]Тип І.'!A82</f>
        <v>0</v>
      </c>
      <c r="C93" s="233">
        <f>'[1]Тип І.'!B82</f>
        <v>0</v>
      </c>
      <c r="D93" s="227">
        <f t="shared" si="21"/>
        <v>0</v>
      </c>
      <c r="E93" s="234">
        <f t="shared" si="14"/>
        <v>0</v>
      </c>
      <c r="F93" s="234">
        <f t="shared" si="15"/>
        <v>0</v>
      </c>
      <c r="G93" s="234">
        <f t="shared" si="16"/>
        <v>0</v>
      </c>
      <c r="H93" s="235">
        <f t="shared" si="17"/>
        <v>0</v>
      </c>
      <c r="I93" s="236">
        <f t="shared" si="18"/>
        <v>0</v>
      </c>
      <c r="J93" s="234">
        <f t="shared" si="19"/>
        <v>0</v>
      </c>
      <c r="K93" s="237">
        <f t="shared" si="20"/>
        <v>0</v>
      </c>
      <c r="L93" s="236">
        <f t="shared" si="22"/>
        <v>0</v>
      </c>
      <c r="M93" s="234">
        <f t="shared" si="23"/>
        <v>0</v>
      </c>
      <c r="N93" s="234">
        <f>IF(M92=0,IF(L93&gt;0.5*C$15,B93+0.5*'[1]Тип І.'!H$12,0),0)</f>
        <v>0</v>
      </c>
      <c r="O93" s="227">
        <f t="shared" si="24"/>
        <v>0</v>
      </c>
      <c r="P93" s="230">
        <f t="shared" si="25"/>
        <v>0</v>
      </c>
      <c r="Q93" s="235">
        <f t="shared" si="27"/>
        <v>0</v>
      </c>
    </row>
    <row r="94" spans="1:17" ht="12.75">
      <c r="A94" s="232">
        <f t="shared" si="26"/>
        <v>78</v>
      </c>
      <c r="B94" s="233">
        <f>'[1]Тип І.'!A83</f>
        <v>0</v>
      </c>
      <c r="C94" s="233">
        <f>'[1]Тип І.'!B83</f>
        <v>0</v>
      </c>
      <c r="D94" s="227">
        <f t="shared" si="21"/>
        <v>0</v>
      </c>
      <c r="E94" s="234">
        <f t="shared" si="14"/>
        <v>0</v>
      </c>
      <c r="F94" s="234">
        <f t="shared" si="15"/>
        <v>0</v>
      </c>
      <c r="G94" s="234">
        <f t="shared" si="16"/>
        <v>0</v>
      </c>
      <c r="H94" s="235">
        <f t="shared" si="17"/>
        <v>0</v>
      </c>
      <c r="I94" s="236">
        <f t="shared" si="18"/>
        <v>0</v>
      </c>
      <c r="J94" s="234">
        <f t="shared" si="19"/>
        <v>0</v>
      </c>
      <c r="K94" s="237">
        <f t="shared" si="20"/>
        <v>0</v>
      </c>
      <c r="L94" s="236">
        <f t="shared" si="22"/>
        <v>0</v>
      </c>
      <c r="M94" s="234">
        <f t="shared" si="23"/>
        <v>0</v>
      </c>
      <c r="N94" s="234">
        <f>IF(M93=0,IF(L94&gt;0.5*C$15,B94+0.5*'[1]Тип І.'!H$12,0),0)</f>
        <v>0</v>
      </c>
      <c r="O94" s="227">
        <f t="shared" si="24"/>
        <v>0</v>
      </c>
      <c r="P94" s="230">
        <f t="shared" si="25"/>
        <v>0</v>
      </c>
      <c r="Q94" s="235">
        <f t="shared" si="27"/>
        <v>0</v>
      </c>
    </row>
    <row r="95" spans="1:17" ht="12.75">
      <c r="A95" s="232">
        <f t="shared" si="26"/>
        <v>79</v>
      </c>
      <c r="B95" s="233">
        <f>'[1]Тип І.'!A84</f>
        <v>0</v>
      </c>
      <c r="C95" s="233">
        <f>'[1]Тип І.'!B84</f>
        <v>0</v>
      </c>
      <c r="D95" s="227">
        <f t="shared" si="21"/>
        <v>0</v>
      </c>
      <c r="E95" s="234">
        <f t="shared" si="14"/>
        <v>0</v>
      </c>
      <c r="F95" s="234">
        <f t="shared" si="15"/>
        <v>0</v>
      </c>
      <c r="G95" s="234">
        <f t="shared" si="16"/>
        <v>0</v>
      </c>
      <c r="H95" s="235">
        <f t="shared" si="17"/>
        <v>0</v>
      </c>
      <c r="I95" s="236">
        <f t="shared" si="18"/>
        <v>0</v>
      </c>
      <c r="J95" s="234">
        <f t="shared" si="19"/>
        <v>0</v>
      </c>
      <c r="K95" s="237">
        <f t="shared" si="20"/>
        <v>0</v>
      </c>
      <c r="L95" s="236">
        <f t="shared" si="22"/>
        <v>0</v>
      </c>
      <c r="M95" s="234">
        <f t="shared" si="23"/>
        <v>0</v>
      </c>
      <c r="N95" s="234">
        <f>IF(M94=0,IF(L95&gt;0.5*C$15,B95+0.5*'[1]Тип І.'!H$12,0),0)</f>
        <v>0</v>
      </c>
      <c r="O95" s="227">
        <f t="shared" si="24"/>
        <v>0</v>
      </c>
      <c r="P95" s="230">
        <f t="shared" si="25"/>
        <v>0</v>
      </c>
      <c r="Q95" s="235">
        <f t="shared" si="27"/>
        <v>0</v>
      </c>
    </row>
    <row r="96" spans="1:17" ht="12.75">
      <c r="A96" s="232">
        <f t="shared" si="26"/>
        <v>80</v>
      </c>
      <c r="B96" s="233">
        <f>'[1]Тип І.'!A85</f>
        <v>0</v>
      </c>
      <c r="C96" s="233">
        <f>'[1]Тип І.'!B85</f>
        <v>0</v>
      </c>
      <c r="D96" s="227">
        <f t="shared" si="21"/>
        <v>0</v>
      </c>
      <c r="E96" s="234">
        <f t="shared" si="14"/>
        <v>0</v>
      </c>
      <c r="F96" s="234">
        <f t="shared" si="15"/>
        <v>0</v>
      </c>
      <c r="G96" s="234">
        <f t="shared" si="16"/>
        <v>0</v>
      </c>
      <c r="H96" s="235">
        <f t="shared" si="17"/>
        <v>0</v>
      </c>
      <c r="I96" s="236">
        <f t="shared" si="18"/>
        <v>0</v>
      </c>
      <c r="J96" s="234">
        <f t="shared" si="19"/>
        <v>0</v>
      </c>
      <c r="K96" s="237">
        <f t="shared" si="20"/>
        <v>0</v>
      </c>
      <c r="L96" s="236">
        <f t="shared" si="22"/>
        <v>0</v>
      </c>
      <c r="M96" s="234">
        <f t="shared" si="23"/>
        <v>0</v>
      </c>
      <c r="N96" s="234">
        <f>IF(M95=0,IF(L96&gt;0.5*C$15,B96+0.5*'[1]Тип І.'!H$12,0),0)</f>
        <v>0</v>
      </c>
      <c r="O96" s="227">
        <f t="shared" si="24"/>
        <v>0</v>
      </c>
      <c r="P96" s="230">
        <f t="shared" si="25"/>
        <v>0</v>
      </c>
      <c r="Q96" s="235">
        <f t="shared" si="27"/>
        <v>0</v>
      </c>
    </row>
    <row r="97" spans="1:17" ht="12.75">
      <c r="A97" s="232">
        <f t="shared" si="26"/>
        <v>81</v>
      </c>
      <c r="B97" s="233">
        <f>'[1]Тип І.'!A86</f>
        <v>0</v>
      </c>
      <c r="C97" s="233">
        <f>'[1]Тип І.'!B86</f>
        <v>0</v>
      </c>
      <c r="D97" s="227">
        <f t="shared" si="21"/>
        <v>0</v>
      </c>
      <c r="E97" s="234">
        <f t="shared" si="14"/>
        <v>0</v>
      </c>
      <c r="F97" s="234">
        <f t="shared" si="15"/>
        <v>0</v>
      </c>
      <c r="G97" s="234">
        <f t="shared" si="16"/>
        <v>0</v>
      </c>
      <c r="H97" s="235">
        <f t="shared" si="17"/>
        <v>0</v>
      </c>
      <c r="I97" s="236">
        <f t="shared" si="18"/>
        <v>0</v>
      </c>
      <c r="J97" s="234">
        <f t="shared" si="19"/>
        <v>0</v>
      </c>
      <c r="K97" s="237">
        <f t="shared" si="20"/>
        <v>0</v>
      </c>
      <c r="L97" s="236">
        <f t="shared" si="22"/>
        <v>0</v>
      </c>
      <c r="M97" s="234">
        <f t="shared" si="23"/>
        <v>0</v>
      </c>
      <c r="N97" s="234">
        <f>IF(M96=0,IF(L97&gt;0.5*C$15,B97+0.5*'[1]Тип І.'!H$12,0),0)</f>
        <v>0</v>
      </c>
      <c r="O97" s="227">
        <f t="shared" si="24"/>
        <v>0</v>
      </c>
      <c r="P97" s="230">
        <f t="shared" si="25"/>
        <v>0</v>
      </c>
      <c r="Q97" s="235">
        <f t="shared" si="27"/>
        <v>0</v>
      </c>
    </row>
    <row r="98" spans="1:17" ht="12.75">
      <c r="A98" s="232">
        <f t="shared" si="26"/>
        <v>82</v>
      </c>
      <c r="B98" s="233">
        <f>'[1]Тип І.'!A87</f>
        <v>0</v>
      </c>
      <c r="C98" s="233">
        <f>'[1]Тип І.'!B87</f>
        <v>0</v>
      </c>
      <c r="D98" s="227">
        <f t="shared" si="21"/>
        <v>0</v>
      </c>
      <c r="E98" s="234">
        <f t="shared" si="14"/>
        <v>0</v>
      </c>
      <c r="F98" s="234">
        <f t="shared" si="15"/>
        <v>0</v>
      </c>
      <c r="G98" s="234">
        <f t="shared" si="16"/>
        <v>0</v>
      </c>
      <c r="H98" s="235">
        <f t="shared" si="17"/>
        <v>0</v>
      </c>
      <c r="I98" s="236">
        <f t="shared" si="18"/>
        <v>0</v>
      </c>
      <c r="J98" s="234">
        <f t="shared" si="19"/>
        <v>0</v>
      </c>
      <c r="K98" s="237">
        <f t="shared" si="20"/>
        <v>0</v>
      </c>
      <c r="L98" s="236">
        <f t="shared" si="22"/>
        <v>0</v>
      </c>
      <c r="M98" s="234">
        <f t="shared" si="23"/>
        <v>0</v>
      </c>
      <c r="N98" s="234">
        <f>IF(M97=0,IF(L98&gt;0.5*C$15,B98+0.5*'[1]Тип І.'!H$12,0),0)</f>
        <v>0</v>
      </c>
      <c r="O98" s="227">
        <f t="shared" si="24"/>
        <v>0</v>
      </c>
      <c r="P98" s="230">
        <f t="shared" si="25"/>
        <v>0</v>
      </c>
      <c r="Q98" s="235">
        <f t="shared" si="27"/>
        <v>0</v>
      </c>
    </row>
    <row r="99" spans="1:17" ht="12.75">
      <c r="A99" s="232">
        <f t="shared" si="26"/>
        <v>83</v>
      </c>
      <c r="B99" s="233">
        <f>'[1]Тип І.'!A88</f>
        <v>0</v>
      </c>
      <c r="C99" s="233">
        <f>'[1]Тип І.'!B88</f>
        <v>0</v>
      </c>
      <c r="D99" s="227">
        <f t="shared" si="21"/>
        <v>0</v>
      </c>
      <c r="E99" s="234">
        <f t="shared" si="14"/>
        <v>0</v>
      </c>
      <c r="F99" s="234">
        <f t="shared" si="15"/>
        <v>0</v>
      </c>
      <c r="G99" s="234">
        <f t="shared" si="16"/>
        <v>0</v>
      </c>
      <c r="H99" s="235">
        <f t="shared" si="17"/>
        <v>0</v>
      </c>
      <c r="I99" s="236">
        <f t="shared" si="18"/>
        <v>0</v>
      </c>
      <c r="J99" s="234">
        <f t="shared" si="19"/>
        <v>0</v>
      </c>
      <c r="K99" s="237">
        <f t="shared" si="20"/>
        <v>0</v>
      </c>
      <c r="L99" s="236">
        <f t="shared" si="22"/>
        <v>0</v>
      </c>
      <c r="M99" s="234">
        <f t="shared" si="23"/>
        <v>0</v>
      </c>
      <c r="N99" s="234">
        <f>IF(M98=0,IF(L99&gt;0.5*C$15,B99+0.5*'[1]Тип І.'!H$12,0),0)</f>
        <v>0</v>
      </c>
      <c r="O99" s="227">
        <f t="shared" si="24"/>
        <v>0</v>
      </c>
      <c r="P99" s="230">
        <f t="shared" si="25"/>
        <v>0</v>
      </c>
      <c r="Q99" s="235">
        <f t="shared" si="27"/>
        <v>0</v>
      </c>
    </row>
    <row r="100" spans="1:17" ht="12.75">
      <c r="A100" s="232">
        <f t="shared" si="26"/>
        <v>84</v>
      </c>
      <c r="B100" s="233">
        <f>'[1]Тип І.'!A89</f>
        <v>0</v>
      </c>
      <c r="C100" s="233">
        <f>'[1]Тип І.'!B89</f>
        <v>0</v>
      </c>
      <c r="D100" s="227">
        <f t="shared" si="21"/>
        <v>0</v>
      </c>
      <c r="E100" s="234">
        <f t="shared" si="14"/>
        <v>0</v>
      </c>
      <c r="F100" s="234">
        <f t="shared" si="15"/>
        <v>0</v>
      </c>
      <c r="G100" s="234">
        <f t="shared" si="16"/>
        <v>0</v>
      </c>
      <c r="H100" s="235">
        <f t="shared" si="17"/>
        <v>0</v>
      </c>
      <c r="I100" s="236">
        <f t="shared" si="18"/>
        <v>0</v>
      </c>
      <c r="J100" s="234">
        <f t="shared" si="19"/>
        <v>0</v>
      </c>
      <c r="K100" s="237">
        <f t="shared" si="20"/>
        <v>0</v>
      </c>
      <c r="L100" s="236">
        <f t="shared" si="22"/>
        <v>0</v>
      </c>
      <c r="M100" s="234">
        <f t="shared" si="23"/>
        <v>0</v>
      </c>
      <c r="N100" s="234">
        <f>IF(M99=0,IF(L100&gt;0.5*C$15,B100+0.5*'[1]Тип І.'!H$12,0),0)</f>
        <v>0</v>
      </c>
      <c r="O100" s="227">
        <f t="shared" si="24"/>
        <v>0</v>
      </c>
      <c r="P100" s="230">
        <f t="shared" si="25"/>
        <v>0</v>
      </c>
      <c r="Q100" s="235">
        <f t="shared" si="27"/>
        <v>0</v>
      </c>
    </row>
    <row r="101" spans="1:17" ht="12.75">
      <c r="A101" s="232">
        <f t="shared" si="26"/>
        <v>85</v>
      </c>
      <c r="B101" s="233">
        <f>'[1]Тип І.'!A90</f>
        <v>0</v>
      </c>
      <c r="C101" s="233">
        <f>'[1]Тип І.'!B90</f>
        <v>0</v>
      </c>
      <c r="D101" s="227">
        <f t="shared" si="21"/>
        <v>0</v>
      </c>
      <c r="E101" s="234">
        <f t="shared" si="14"/>
        <v>0</v>
      </c>
      <c r="F101" s="234">
        <f t="shared" si="15"/>
        <v>0</v>
      </c>
      <c r="G101" s="234">
        <f t="shared" si="16"/>
        <v>0</v>
      </c>
      <c r="H101" s="235">
        <f t="shared" si="17"/>
        <v>0</v>
      </c>
      <c r="I101" s="236">
        <f t="shared" si="18"/>
        <v>0</v>
      </c>
      <c r="J101" s="234">
        <f t="shared" si="19"/>
        <v>0</v>
      </c>
      <c r="K101" s="237">
        <f t="shared" si="20"/>
        <v>0</v>
      </c>
      <c r="L101" s="236">
        <f t="shared" si="22"/>
        <v>0</v>
      </c>
      <c r="M101" s="234">
        <f t="shared" si="23"/>
        <v>0</v>
      </c>
      <c r="N101" s="234">
        <f>IF(M100=0,IF(L101&gt;0.5*C$15,B101+0.5*'[1]Тип І.'!H$12,0),0)</f>
        <v>0</v>
      </c>
      <c r="O101" s="227">
        <f t="shared" si="24"/>
        <v>0</v>
      </c>
      <c r="P101" s="230">
        <f t="shared" si="25"/>
        <v>0</v>
      </c>
      <c r="Q101" s="235">
        <f t="shared" si="27"/>
        <v>0</v>
      </c>
    </row>
    <row r="102" spans="1:17" ht="12.75">
      <c r="A102" s="232">
        <f t="shared" si="26"/>
        <v>86</v>
      </c>
      <c r="B102" s="233">
        <f>'[1]Тип І.'!A91</f>
        <v>0</v>
      </c>
      <c r="C102" s="233">
        <f>'[1]Тип І.'!B91</f>
        <v>0</v>
      </c>
      <c r="D102" s="227">
        <f t="shared" si="21"/>
        <v>0</v>
      </c>
      <c r="E102" s="234">
        <f t="shared" si="14"/>
        <v>0</v>
      </c>
      <c r="F102" s="234">
        <f t="shared" si="15"/>
        <v>0</v>
      </c>
      <c r="G102" s="234">
        <f t="shared" si="16"/>
        <v>0</v>
      </c>
      <c r="H102" s="235">
        <f t="shared" si="17"/>
        <v>0</v>
      </c>
      <c r="I102" s="236">
        <f t="shared" si="18"/>
        <v>0</v>
      </c>
      <c r="J102" s="234">
        <f t="shared" si="19"/>
        <v>0</v>
      </c>
      <c r="K102" s="237">
        <f t="shared" si="20"/>
        <v>0</v>
      </c>
      <c r="L102" s="236">
        <f t="shared" si="22"/>
        <v>0</v>
      </c>
      <c r="M102" s="234">
        <f t="shared" si="23"/>
        <v>0</v>
      </c>
      <c r="N102" s="234">
        <f>IF(M101=0,IF(L102&gt;0.5*C$15,B102+0.5*'[1]Тип І.'!H$12,0),0)</f>
        <v>0</v>
      </c>
      <c r="O102" s="227">
        <f t="shared" si="24"/>
        <v>0</v>
      </c>
      <c r="P102" s="230">
        <f t="shared" si="25"/>
        <v>0</v>
      </c>
      <c r="Q102" s="235">
        <f t="shared" si="27"/>
        <v>0</v>
      </c>
    </row>
    <row r="103" spans="1:17" ht="12.75">
      <c r="A103" s="232">
        <f t="shared" si="26"/>
        <v>87</v>
      </c>
      <c r="B103" s="233">
        <f>'[1]Тип І.'!A92</f>
        <v>0</v>
      </c>
      <c r="C103" s="233">
        <f>'[1]Тип І.'!B92</f>
        <v>0</v>
      </c>
      <c r="D103" s="227">
        <f t="shared" si="21"/>
        <v>0</v>
      </c>
      <c r="E103" s="234">
        <f t="shared" si="14"/>
        <v>0</v>
      </c>
      <c r="F103" s="234">
        <f t="shared" si="15"/>
        <v>0</v>
      </c>
      <c r="G103" s="234">
        <f t="shared" si="16"/>
        <v>0</v>
      </c>
      <c r="H103" s="235">
        <f t="shared" si="17"/>
        <v>0</v>
      </c>
      <c r="I103" s="236">
        <f t="shared" si="18"/>
        <v>0</v>
      </c>
      <c r="J103" s="234">
        <f t="shared" si="19"/>
        <v>0</v>
      </c>
      <c r="K103" s="237">
        <f t="shared" si="20"/>
        <v>0</v>
      </c>
      <c r="L103" s="236">
        <f t="shared" si="22"/>
        <v>0</v>
      </c>
      <c r="M103" s="234">
        <f t="shared" si="23"/>
        <v>0</v>
      </c>
      <c r="N103" s="234">
        <f>IF(M102=0,IF(L103&gt;0.5*C$15,B103+0.5*'[1]Тип І.'!H$12,0),0)</f>
        <v>0</v>
      </c>
      <c r="O103" s="227">
        <f t="shared" si="24"/>
        <v>0</v>
      </c>
      <c r="P103" s="230">
        <f t="shared" si="25"/>
        <v>0</v>
      </c>
      <c r="Q103" s="235">
        <f t="shared" si="27"/>
        <v>0</v>
      </c>
    </row>
    <row r="104" spans="1:17" ht="12.75">
      <c r="A104" s="232">
        <f t="shared" si="26"/>
        <v>88</v>
      </c>
      <c r="B104" s="233">
        <f>'[1]Тип І.'!A93</f>
        <v>0</v>
      </c>
      <c r="C104" s="233">
        <f>'[1]Тип І.'!B93</f>
        <v>0</v>
      </c>
      <c r="D104" s="227">
        <f t="shared" si="21"/>
        <v>0</v>
      </c>
      <c r="E104" s="234">
        <f t="shared" si="14"/>
        <v>0</v>
      </c>
      <c r="F104" s="234">
        <f t="shared" si="15"/>
        <v>0</v>
      </c>
      <c r="G104" s="234">
        <f t="shared" si="16"/>
        <v>0</v>
      </c>
      <c r="H104" s="235">
        <f t="shared" si="17"/>
        <v>0</v>
      </c>
      <c r="I104" s="236">
        <f t="shared" si="18"/>
        <v>0</v>
      </c>
      <c r="J104" s="234">
        <f t="shared" si="19"/>
        <v>0</v>
      </c>
      <c r="K104" s="237">
        <f t="shared" si="20"/>
        <v>0</v>
      </c>
      <c r="L104" s="236">
        <f t="shared" si="22"/>
        <v>0</v>
      </c>
      <c r="M104" s="234">
        <f t="shared" si="23"/>
        <v>0</v>
      </c>
      <c r="N104" s="234">
        <f>IF(M103=0,IF(L104&gt;0.5*C$15,B104+0.5*'[1]Тип І.'!H$12,0),0)</f>
        <v>0</v>
      </c>
      <c r="O104" s="227">
        <f t="shared" si="24"/>
        <v>0</v>
      </c>
      <c r="P104" s="230">
        <f t="shared" si="25"/>
        <v>0</v>
      </c>
      <c r="Q104" s="235">
        <f t="shared" si="27"/>
        <v>0</v>
      </c>
    </row>
    <row r="105" spans="1:17" ht="12.75">
      <c r="A105" s="232">
        <f t="shared" si="26"/>
        <v>89</v>
      </c>
      <c r="B105" s="233">
        <f>'[1]Тип І.'!A94</f>
        <v>0</v>
      </c>
      <c r="C105" s="233">
        <f>'[1]Тип І.'!B94</f>
        <v>0</v>
      </c>
      <c r="D105" s="227">
        <f t="shared" si="21"/>
        <v>0</v>
      </c>
      <c r="E105" s="234">
        <f t="shared" si="14"/>
        <v>0</v>
      </c>
      <c r="F105" s="234">
        <f t="shared" si="15"/>
        <v>0</v>
      </c>
      <c r="G105" s="234">
        <f t="shared" si="16"/>
        <v>0</v>
      </c>
      <c r="H105" s="235">
        <f t="shared" si="17"/>
        <v>0</v>
      </c>
      <c r="I105" s="236">
        <f t="shared" si="18"/>
        <v>0</v>
      </c>
      <c r="J105" s="234">
        <f t="shared" si="19"/>
        <v>0</v>
      </c>
      <c r="K105" s="237">
        <f t="shared" si="20"/>
        <v>0</v>
      </c>
      <c r="L105" s="236">
        <f t="shared" si="22"/>
        <v>0</v>
      </c>
      <c r="M105" s="234">
        <f t="shared" si="23"/>
        <v>0</v>
      </c>
      <c r="N105" s="234">
        <f>IF(M104=0,IF(L105&gt;0.5*C$15,B105+0.5*'[1]Тип І.'!H$12,0),0)</f>
        <v>0</v>
      </c>
      <c r="O105" s="227">
        <f t="shared" si="24"/>
        <v>0</v>
      </c>
      <c r="P105" s="230">
        <f t="shared" si="25"/>
        <v>0</v>
      </c>
      <c r="Q105" s="235">
        <f t="shared" si="27"/>
        <v>0</v>
      </c>
    </row>
    <row r="106" spans="1:17" ht="12.75">
      <c r="A106" s="232">
        <f t="shared" si="26"/>
        <v>90</v>
      </c>
      <c r="B106" s="233">
        <f>'[1]Тип І.'!A95</f>
        <v>0</v>
      </c>
      <c r="C106" s="233">
        <f>'[1]Тип І.'!B95</f>
        <v>0</v>
      </c>
      <c r="D106" s="227">
        <f t="shared" si="21"/>
        <v>0</v>
      </c>
      <c r="E106" s="234">
        <f t="shared" si="14"/>
        <v>0</v>
      </c>
      <c r="F106" s="234">
        <f t="shared" si="15"/>
        <v>0</v>
      </c>
      <c r="G106" s="234">
        <f t="shared" si="16"/>
        <v>0</v>
      </c>
      <c r="H106" s="235">
        <f t="shared" si="17"/>
        <v>0</v>
      </c>
      <c r="I106" s="236">
        <f t="shared" si="18"/>
        <v>0</v>
      </c>
      <c r="J106" s="234">
        <f t="shared" si="19"/>
        <v>0</v>
      </c>
      <c r="K106" s="237">
        <f t="shared" si="20"/>
        <v>0</v>
      </c>
      <c r="L106" s="236">
        <f t="shared" si="22"/>
        <v>0</v>
      </c>
      <c r="M106" s="234">
        <f t="shared" si="23"/>
        <v>0</v>
      </c>
      <c r="N106" s="234">
        <f>IF(M105=0,IF(L106&gt;0.5*C$15,B106+0.5*'[1]Тип І.'!H$12,0),0)</f>
        <v>0</v>
      </c>
      <c r="O106" s="227">
        <f t="shared" si="24"/>
        <v>0</v>
      </c>
      <c r="P106" s="230">
        <f t="shared" si="25"/>
        <v>0</v>
      </c>
      <c r="Q106" s="235">
        <f t="shared" si="27"/>
        <v>0</v>
      </c>
    </row>
    <row r="107" spans="1:17" ht="12.75">
      <c r="A107" s="232">
        <f t="shared" si="26"/>
        <v>91</v>
      </c>
      <c r="B107" s="233">
        <f>'[1]Тип І.'!A96</f>
        <v>0</v>
      </c>
      <c r="C107" s="233">
        <f>'[1]Тип І.'!B96</f>
        <v>0</v>
      </c>
      <c r="D107" s="227">
        <f t="shared" si="21"/>
        <v>0</v>
      </c>
      <c r="E107" s="234">
        <f t="shared" si="14"/>
        <v>0</v>
      </c>
      <c r="F107" s="234">
        <f t="shared" si="15"/>
        <v>0</v>
      </c>
      <c r="G107" s="234">
        <f t="shared" si="16"/>
        <v>0</v>
      </c>
      <c r="H107" s="235">
        <f t="shared" si="17"/>
        <v>0</v>
      </c>
      <c r="I107" s="236">
        <f t="shared" si="18"/>
        <v>0</v>
      </c>
      <c r="J107" s="234">
        <f t="shared" si="19"/>
        <v>0</v>
      </c>
      <c r="K107" s="237">
        <f t="shared" si="20"/>
        <v>0</v>
      </c>
      <c r="L107" s="236">
        <f t="shared" si="22"/>
        <v>0</v>
      </c>
      <c r="M107" s="234">
        <f t="shared" si="23"/>
        <v>0</v>
      </c>
      <c r="N107" s="234">
        <f>IF(M106=0,IF(L107&gt;0.5*C$15,B107+0.5*'[1]Тип І.'!H$12,0),0)</f>
        <v>0</v>
      </c>
      <c r="O107" s="227">
        <f t="shared" si="24"/>
        <v>0</v>
      </c>
      <c r="P107" s="230">
        <f t="shared" si="25"/>
        <v>0</v>
      </c>
      <c r="Q107" s="235">
        <f t="shared" si="27"/>
        <v>0</v>
      </c>
    </row>
    <row r="108" spans="1:17" ht="12.75">
      <c r="A108" s="232">
        <f t="shared" si="26"/>
        <v>92</v>
      </c>
      <c r="B108" s="233">
        <f>'[1]Тип І.'!A97</f>
        <v>0</v>
      </c>
      <c r="C108" s="233">
        <f>'[1]Тип І.'!B97</f>
        <v>0</v>
      </c>
      <c r="D108" s="227">
        <f t="shared" si="21"/>
        <v>0</v>
      </c>
      <c r="E108" s="234">
        <f t="shared" si="14"/>
        <v>0</v>
      </c>
      <c r="F108" s="234">
        <f t="shared" si="15"/>
        <v>0</v>
      </c>
      <c r="G108" s="234">
        <f t="shared" si="16"/>
        <v>0</v>
      </c>
      <c r="H108" s="235">
        <f t="shared" si="17"/>
        <v>0</v>
      </c>
      <c r="I108" s="236">
        <f t="shared" si="18"/>
        <v>0</v>
      </c>
      <c r="J108" s="234">
        <f t="shared" si="19"/>
        <v>0</v>
      </c>
      <c r="K108" s="237">
        <f t="shared" si="20"/>
        <v>0</v>
      </c>
      <c r="L108" s="236">
        <f t="shared" si="22"/>
        <v>0</v>
      </c>
      <c r="M108" s="234">
        <f t="shared" si="23"/>
        <v>0</v>
      </c>
      <c r="N108" s="234">
        <f>IF(M107=0,IF(L108&gt;0.5*C$15,B108+0.5*'[1]Тип І.'!H$12,0),0)</f>
        <v>0</v>
      </c>
      <c r="O108" s="227">
        <f t="shared" si="24"/>
        <v>0</v>
      </c>
      <c r="P108" s="230">
        <f t="shared" si="25"/>
        <v>0</v>
      </c>
      <c r="Q108" s="235">
        <f t="shared" si="27"/>
        <v>0</v>
      </c>
    </row>
    <row r="109" spans="1:17" ht="12.75">
      <c r="A109" s="232">
        <f t="shared" si="26"/>
        <v>93</v>
      </c>
      <c r="B109" s="233">
        <f>'[1]Тип І.'!A98</f>
        <v>0</v>
      </c>
      <c r="C109" s="233">
        <f>'[1]Тип І.'!B98</f>
        <v>0</v>
      </c>
      <c r="D109" s="227">
        <f t="shared" si="21"/>
        <v>0</v>
      </c>
      <c r="E109" s="234">
        <f t="shared" si="14"/>
        <v>0</v>
      </c>
      <c r="F109" s="234">
        <f t="shared" si="15"/>
        <v>0</v>
      </c>
      <c r="G109" s="234">
        <f t="shared" si="16"/>
        <v>0</v>
      </c>
      <c r="H109" s="235">
        <f t="shared" si="17"/>
        <v>0</v>
      </c>
      <c r="I109" s="236">
        <f t="shared" si="18"/>
        <v>0</v>
      </c>
      <c r="J109" s="234">
        <f t="shared" si="19"/>
        <v>0</v>
      </c>
      <c r="K109" s="237">
        <f t="shared" si="20"/>
        <v>0</v>
      </c>
      <c r="L109" s="236">
        <f t="shared" si="22"/>
        <v>0</v>
      </c>
      <c r="M109" s="234">
        <f t="shared" si="23"/>
        <v>0</v>
      </c>
      <c r="N109" s="234">
        <f>IF(M108=0,IF(L109&gt;0.5*C$15,B109+0.5*'[1]Тип І.'!H$12,0),0)</f>
        <v>0</v>
      </c>
      <c r="O109" s="227">
        <f t="shared" si="24"/>
        <v>0</v>
      </c>
      <c r="P109" s="230">
        <f t="shared" si="25"/>
        <v>0</v>
      </c>
      <c r="Q109" s="235">
        <f t="shared" si="27"/>
        <v>0</v>
      </c>
    </row>
    <row r="110" spans="1:17" ht="12.75">
      <c r="A110" s="232">
        <f t="shared" si="26"/>
        <v>94</v>
      </c>
      <c r="B110" s="233">
        <f>'[1]Тип І.'!A99</f>
        <v>0</v>
      </c>
      <c r="C110" s="233">
        <f>'[1]Тип І.'!B99</f>
        <v>0</v>
      </c>
      <c r="D110" s="227">
        <f t="shared" si="21"/>
        <v>0</v>
      </c>
      <c r="E110" s="234">
        <f t="shared" si="14"/>
        <v>0</v>
      </c>
      <c r="F110" s="234">
        <f t="shared" si="15"/>
        <v>0</v>
      </c>
      <c r="G110" s="234">
        <f t="shared" si="16"/>
        <v>0</v>
      </c>
      <c r="H110" s="235">
        <f t="shared" si="17"/>
        <v>0</v>
      </c>
      <c r="I110" s="236">
        <f t="shared" si="18"/>
        <v>0</v>
      </c>
      <c r="J110" s="234">
        <f t="shared" si="19"/>
        <v>0</v>
      </c>
      <c r="K110" s="237">
        <f t="shared" si="20"/>
        <v>0</v>
      </c>
      <c r="L110" s="236">
        <f t="shared" si="22"/>
        <v>0</v>
      </c>
      <c r="M110" s="234">
        <f t="shared" si="23"/>
        <v>0</v>
      </c>
      <c r="N110" s="234">
        <f>IF(M109=0,IF(L110&gt;0.5*C$15,B110+0.5*'[1]Тип І.'!H$12,0),0)</f>
        <v>0</v>
      </c>
      <c r="O110" s="227">
        <f t="shared" si="24"/>
        <v>0</v>
      </c>
      <c r="P110" s="230">
        <f t="shared" si="25"/>
        <v>0</v>
      </c>
      <c r="Q110" s="235">
        <f t="shared" si="27"/>
        <v>0</v>
      </c>
    </row>
    <row r="111" spans="1:17" ht="12.75">
      <c r="A111" s="232">
        <f t="shared" si="26"/>
        <v>95</v>
      </c>
      <c r="B111" s="233">
        <f>'[1]Тип І.'!A100</f>
        <v>0</v>
      </c>
      <c r="C111" s="233">
        <f>'[1]Тип І.'!B100</f>
        <v>0</v>
      </c>
      <c r="D111" s="227">
        <f t="shared" si="21"/>
        <v>0</v>
      </c>
      <c r="E111" s="234">
        <f t="shared" si="14"/>
        <v>0</v>
      </c>
      <c r="F111" s="234">
        <f t="shared" si="15"/>
        <v>0</v>
      </c>
      <c r="G111" s="234">
        <f t="shared" si="16"/>
        <v>0</v>
      </c>
      <c r="H111" s="235">
        <f t="shared" si="17"/>
        <v>0</v>
      </c>
      <c r="I111" s="236">
        <f t="shared" si="18"/>
        <v>0</v>
      </c>
      <c r="J111" s="234">
        <f t="shared" si="19"/>
        <v>0</v>
      </c>
      <c r="K111" s="237">
        <f t="shared" si="20"/>
        <v>0</v>
      </c>
      <c r="L111" s="236">
        <f t="shared" si="22"/>
        <v>0</v>
      </c>
      <c r="M111" s="234">
        <f t="shared" si="23"/>
        <v>0</v>
      </c>
      <c r="N111" s="234">
        <f>IF(M110=0,IF(L111&gt;0.5*C$15,B111+0.5*'[1]Тип І.'!H$12,0),0)</f>
        <v>0</v>
      </c>
      <c r="O111" s="227">
        <f t="shared" si="24"/>
        <v>0</v>
      </c>
      <c r="P111" s="230">
        <f t="shared" si="25"/>
        <v>0</v>
      </c>
      <c r="Q111" s="235">
        <f t="shared" si="27"/>
        <v>0</v>
      </c>
    </row>
    <row r="112" spans="1:17" ht="12.75">
      <c r="A112" s="232">
        <f t="shared" si="26"/>
        <v>96</v>
      </c>
      <c r="B112" s="233">
        <f>'[1]Тип І.'!A101</f>
        <v>0</v>
      </c>
      <c r="C112" s="233">
        <f>'[1]Тип І.'!B101</f>
        <v>0</v>
      </c>
      <c r="D112" s="227">
        <f t="shared" si="21"/>
        <v>0</v>
      </c>
      <c r="E112" s="234">
        <f t="shared" si="14"/>
        <v>0</v>
      </c>
      <c r="F112" s="234">
        <f t="shared" si="15"/>
        <v>0</v>
      </c>
      <c r="G112" s="234">
        <f t="shared" si="16"/>
        <v>0</v>
      </c>
      <c r="H112" s="235">
        <f t="shared" si="17"/>
        <v>0</v>
      </c>
      <c r="I112" s="236">
        <f t="shared" si="18"/>
        <v>0</v>
      </c>
      <c r="J112" s="234">
        <f t="shared" si="19"/>
        <v>0</v>
      </c>
      <c r="K112" s="237">
        <f t="shared" si="20"/>
        <v>0</v>
      </c>
      <c r="L112" s="236">
        <f t="shared" si="22"/>
        <v>0</v>
      </c>
      <c r="M112" s="234">
        <f t="shared" si="23"/>
        <v>0</v>
      </c>
      <c r="N112" s="234">
        <f>IF(M111=0,IF(L112&gt;0.5*C$15,B112+0.5*'[1]Тип І.'!H$12,0),0)</f>
        <v>0</v>
      </c>
      <c r="O112" s="227">
        <f t="shared" si="24"/>
        <v>0</v>
      </c>
      <c r="P112" s="230">
        <f t="shared" si="25"/>
        <v>0</v>
      </c>
      <c r="Q112" s="235">
        <f t="shared" si="27"/>
        <v>0</v>
      </c>
    </row>
    <row r="113" spans="1:17" ht="12.75">
      <c r="A113" s="232">
        <f t="shared" si="26"/>
        <v>97</v>
      </c>
      <c r="B113" s="233">
        <f>'[1]Тип І.'!A102</f>
        <v>0</v>
      </c>
      <c r="C113" s="233">
        <f>'[1]Тип І.'!B102</f>
        <v>0</v>
      </c>
      <c r="D113" s="227">
        <f t="shared" si="21"/>
        <v>0</v>
      </c>
      <c r="E113" s="234">
        <f t="shared" si="14"/>
        <v>0</v>
      </c>
      <c r="F113" s="234">
        <f t="shared" si="15"/>
        <v>0</v>
      </c>
      <c r="G113" s="234">
        <f t="shared" si="16"/>
        <v>0</v>
      </c>
      <c r="H113" s="235">
        <f t="shared" si="17"/>
        <v>0</v>
      </c>
      <c r="I113" s="236">
        <f t="shared" si="18"/>
        <v>0</v>
      </c>
      <c r="J113" s="234">
        <f>IF(I113&gt;0,A113,)</f>
        <v>0</v>
      </c>
      <c r="K113" s="237">
        <f t="shared" si="20"/>
        <v>0</v>
      </c>
      <c r="L113" s="236">
        <f t="shared" si="22"/>
        <v>0</v>
      </c>
      <c r="M113" s="234">
        <f t="shared" si="23"/>
        <v>0</v>
      </c>
      <c r="N113" s="234">
        <f>IF(M112=0,IF(L113&gt;0.5*C$15,B113+0.5*'[1]Тип І.'!H$12,0),0)</f>
        <v>0</v>
      </c>
      <c r="O113" s="227">
        <f t="shared" si="24"/>
        <v>0</v>
      </c>
      <c r="P113" s="230">
        <f t="shared" si="25"/>
        <v>0</v>
      </c>
      <c r="Q113" s="235">
        <f t="shared" si="27"/>
        <v>0</v>
      </c>
    </row>
    <row r="114" spans="1:17" ht="12.75">
      <c r="A114" s="232">
        <f t="shared" si="26"/>
        <v>98</v>
      </c>
      <c r="B114" s="233">
        <f>'[1]Тип І.'!A103</f>
        <v>0</v>
      </c>
      <c r="C114" s="233">
        <f>'[1]Тип І.'!B103</f>
        <v>0</v>
      </c>
      <c r="D114" s="227">
        <f t="shared" si="21"/>
        <v>0</v>
      </c>
      <c r="E114" s="234">
        <f t="shared" si="14"/>
        <v>0</v>
      </c>
      <c r="F114" s="234">
        <f t="shared" si="15"/>
        <v>0</v>
      </c>
      <c r="G114" s="234">
        <f t="shared" si="16"/>
        <v>0</v>
      </c>
      <c r="H114" s="235">
        <f t="shared" si="17"/>
        <v>0</v>
      </c>
      <c r="I114" s="236">
        <f t="shared" si="18"/>
        <v>0</v>
      </c>
      <c r="J114" s="234">
        <f>IF(I114&gt;0,A114,)</f>
        <v>0</v>
      </c>
      <c r="K114" s="237">
        <f t="shared" si="20"/>
        <v>0</v>
      </c>
      <c r="L114" s="236">
        <f t="shared" si="22"/>
        <v>0</v>
      </c>
      <c r="M114" s="234">
        <f>IF(L114&gt;(0.5*C$15),B114,)</f>
        <v>0</v>
      </c>
      <c r="N114" s="234">
        <f>IF(M113=0,IF(L114&gt;0.5*C$15,B114+0.5*'[1]Тип І.'!H$12,0),0)</f>
        <v>0</v>
      </c>
      <c r="O114" s="227">
        <f t="shared" si="24"/>
        <v>0</v>
      </c>
      <c r="P114" s="230">
        <f t="shared" si="25"/>
        <v>0</v>
      </c>
      <c r="Q114" s="235">
        <f t="shared" si="27"/>
        <v>0</v>
      </c>
    </row>
    <row r="115" spans="1:17" ht="12.75">
      <c r="A115" s="232">
        <f t="shared" si="26"/>
        <v>99</v>
      </c>
      <c r="B115" s="233">
        <f>'[1]Тип І.'!A104</f>
        <v>0</v>
      </c>
      <c r="C115" s="233">
        <f>'[1]Тип І.'!B104</f>
        <v>0</v>
      </c>
      <c r="D115" s="227">
        <f t="shared" si="21"/>
        <v>0</v>
      </c>
      <c r="E115" s="234">
        <f t="shared" si="14"/>
        <v>0</v>
      </c>
      <c r="F115" s="234">
        <f t="shared" si="15"/>
        <v>0</v>
      </c>
      <c r="G115" s="234">
        <f t="shared" si="16"/>
        <v>0</v>
      </c>
      <c r="H115" s="235">
        <f t="shared" si="17"/>
        <v>0</v>
      </c>
      <c r="I115" s="236">
        <f t="shared" si="18"/>
        <v>0</v>
      </c>
      <c r="J115" s="234">
        <f>IF(I115&gt;0,A115,)</f>
        <v>0</v>
      </c>
      <c r="K115" s="237">
        <f t="shared" si="20"/>
        <v>0</v>
      </c>
      <c r="L115" s="236">
        <f t="shared" si="22"/>
        <v>0</v>
      </c>
      <c r="M115" s="234">
        <f>IF(L115&gt;(0.5*C$15),B115,)</f>
        <v>0</v>
      </c>
      <c r="N115" s="234">
        <f>IF(M114=0,IF(L115&gt;0.5*C$15,B115+0.5*'[1]Тип І.'!H$12,0),0)</f>
        <v>0</v>
      </c>
      <c r="O115" s="227">
        <f t="shared" si="24"/>
        <v>0</v>
      </c>
      <c r="P115" s="230">
        <f t="shared" si="25"/>
        <v>0</v>
      </c>
      <c r="Q115" s="235">
        <f t="shared" si="27"/>
        <v>0</v>
      </c>
    </row>
    <row r="116" spans="1:17" ht="13.5" thickBot="1">
      <c r="A116" s="238">
        <f t="shared" si="26"/>
        <v>100</v>
      </c>
      <c r="B116" s="239">
        <f>'[1]Тип І.'!A105</f>
        <v>0</v>
      </c>
      <c r="C116" s="239">
        <f>'[1]Тип І.'!B105</f>
        <v>0</v>
      </c>
      <c r="D116" s="240">
        <f t="shared" si="21"/>
        <v>0</v>
      </c>
      <c r="E116" s="240">
        <f t="shared" si="14"/>
        <v>0</v>
      </c>
      <c r="F116" s="240">
        <f t="shared" si="15"/>
        <v>0</v>
      </c>
      <c r="G116" s="240">
        <f t="shared" si="16"/>
        <v>0</v>
      </c>
      <c r="H116" s="241">
        <f t="shared" si="17"/>
        <v>0</v>
      </c>
      <c r="I116" s="242">
        <f t="shared" si="18"/>
        <v>0</v>
      </c>
      <c r="J116" s="240">
        <f>IF(I116&gt;0,A116,)</f>
        <v>0</v>
      </c>
      <c r="K116" s="243">
        <f t="shared" si="20"/>
        <v>0</v>
      </c>
      <c r="L116" s="242">
        <f t="shared" si="22"/>
        <v>0</v>
      </c>
      <c r="M116" s="240">
        <f>IF(L116&gt;(0.5*C$15),B116,)</f>
        <v>0</v>
      </c>
      <c r="N116" s="240">
        <f>IF(M115=0,IF(L116&gt;0.5*C$15,B116+0.5*'[1]Тип І.'!H$12,0),0)</f>
        <v>0</v>
      </c>
      <c r="O116" s="240">
        <f t="shared" si="24"/>
        <v>0</v>
      </c>
      <c r="P116" s="244">
        <f t="shared" si="25"/>
        <v>0</v>
      </c>
      <c r="Q116" s="241">
        <f t="shared" si="27"/>
        <v>0</v>
      </c>
    </row>
  </sheetData>
  <sheetProtection password="D73E" sheet="1" objects="1" scenarios="1"/>
  <mergeCells count="7">
    <mergeCell ref="I15:K15"/>
    <mergeCell ref="L15:Q15"/>
    <mergeCell ref="A1:S1"/>
    <mergeCell ref="E2:H2"/>
    <mergeCell ref="U2:AA2"/>
    <mergeCell ref="E14:H14"/>
    <mergeCell ref="I14:Q14"/>
  </mergeCells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GAIA EXPERT Research &amp; Consulting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 Miroslav Alexandrov YORDANOV</dc:creator>
  <cp:keywords/>
  <dc:description/>
  <cp:lastModifiedBy>Dr Miroslav Alexandrov YORDANOV</cp:lastModifiedBy>
  <dcterms:created xsi:type="dcterms:W3CDTF">2015-02-26T11:42:48Z</dcterms:created>
  <dcterms:modified xsi:type="dcterms:W3CDTF">2015-02-26T11:53:43Z</dcterms:modified>
  <cp:category/>
  <cp:version/>
  <cp:contentType/>
  <cp:contentStatus/>
</cp:coreProperties>
</file>